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omments1.xml" ContentType="application/vnd.openxmlformats-officedocument.spreadsheetml.comments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7.xml" ContentType="application/vnd.openxmlformats-officedocument.drawing+xml"/>
  <Override PartName="/xl/charts/chart68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8.xml" ContentType="application/vnd.openxmlformats-officedocument.drawing+xml"/>
  <Override PartName="/xl/charts/chart69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9.xml" ContentType="application/vnd.openxmlformats-officedocument.drawing+xml"/>
  <Override PartName="/xl/charts/chart70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70.xml" ContentType="application/vnd.openxmlformats-officedocument.drawing+xml"/>
  <Override PartName="/xl/charts/chart71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1.xml" ContentType="application/vnd.openxmlformats-officedocument.drawing+xml"/>
  <Override PartName="/xl/charts/chart72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2.xml" ContentType="application/vnd.openxmlformats-officedocument.drawing+xml"/>
  <Override PartName="/xl/charts/chart73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73.xml" ContentType="application/vnd.openxmlformats-officedocument.drawing+xml"/>
  <Override PartName="/xl/charts/chart74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2080136\Downloads\"/>
    </mc:Choice>
  </mc:AlternateContent>
  <xr:revisionPtr revIDLastSave="0" documentId="13_ncr:1_{5BFFA932-C993-4344-A90B-7858C6773D3B}" xr6:coauthVersionLast="47" xr6:coauthVersionMax="47" xr10:uidLastSave="{00000000-0000-0000-0000-000000000000}"/>
  <bookViews>
    <workbookView xWindow="-120" yWindow="-120" windowWidth="29040" windowHeight="15720" tabRatio="968" xr2:uid="{00000000-000D-0000-FFFF-FFFF00000000}"/>
  </bookViews>
  <sheets>
    <sheet name="índex" sheetId="224" r:id="rId1"/>
    <sheet name="PE1.01_Ind01 " sheetId="178" r:id="rId2"/>
    <sheet name="PE1.01_Ind02" sheetId="2" r:id="rId3"/>
    <sheet name="PE1.01_Ind03 " sheetId="215" r:id="rId4"/>
    <sheet name="PE1.01_Ind04 " sheetId="214" r:id="rId5"/>
    <sheet name="PE1.02_Ind01" sheetId="217" r:id="rId6"/>
    <sheet name="PE1.02_Ind02" sheetId="194" r:id="rId7"/>
    <sheet name="PE1.02_Ind03" sheetId="222" r:id="rId8"/>
    <sheet name="PE1.03_Ind01" sheetId="83" r:id="rId9"/>
    <sheet name="PE1.03_Ind02" sheetId="84" r:id="rId10"/>
    <sheet name="PE1.03_Ind03" sheetId="85" r:id="rId11"/>
    <sheet name="PE1.03_Ind04 " sheetId="86" r:id="rId12"/>
    <sheet name="PE1.03_Ind05" sheetId="79" r:id="rId13"/>
    <sheet name="PE1.03_Ind06" sheetId="218" r:id="rId14"/>
    <sheet name="PE1.03_Ind07" sheetId="219" r:id="rId15"/>
    <sheet name="PC2.01_Ind01" sheetId="91" r:id="rId16"/>
    <sheet name="PC2.01_Ind02" sheetId="93" r:id="rId17"/>
    <sheet name="PC2.01_Ind03" sheetId="180" r:id="rId18"/>
    <sheet name="PC2.01_Ind04" sheetId="181" r:id="rId19"/>
    <sheet name="PC2.01_Ind05" sheetId="195" r:id="rId20"/>
    <sheet name="PC2.02_Ind01" sheetId="95" r:id="rId21"/>
    <sheet name="PC2.03_Ind01" sheetId="97" r:id="rId22"/>
    <sheet name="PC2.03_Ind02" sheetId="99" r:id="rId23"/>
    <sheet name="PC2.04_Ind01" sheetId="101" r:id="rId24"/>
    <sheet name="PC2.04_Ind02" sheetId="103" r:id="rId25"/>
    <sheet name="PC2.04_Ind03" sheetId="106" r:id="rId26"/>
    <sheet name="PC2.04_Ind4" sheetId="109" r:id="rId27"/>
    <sheet name="PC2.05_Ind01" sheetId="188" r:id="rId28"/>
    <sheet name="PC3.01_Ind01" sheetId="110" r:id="rId29"/>
    <sheet name="PC3.01_Ind02." sheetId="114" r:id="rId30"/>
    <sheet name="PC3.01_Ind03" sheetId="190" r:id="rId31"/>
    <sheet name="PC3.01_Ind04 " sheetId="118" r:id="rId32"/>
    <sheet name="PC3.01_Ind05" sheetId="197" r:id="rId33"/>
    <sheet name="PC3.02_Ind01" sheetId="122" r:id="rId34"/>
    <sheet name="PC3.03_Ind01" sheetId="123" r:id="rId35"/>
    <sheet name="PC3.03_Ind02" sheetId="183" r:id="rId36"/>
    <sheet name="PC3.03_Ind03" sheetId="220" r:id="rId37"/>
    <sheet name="PC3.03_Ind04" sheetId="221" r:id="rId38"/>
    <sheet name="PC3.03_Ind05" sheetId="223" r:id="rId39"/>
    <sheet name="PC3.04_Ind01" sheetId="132" r:id="rId40"/>
    <sheet name="PC3.04_Ind02 " sheetId="126" r:id="rId41"/>
    <sheet name="PC3.04_Ind03" sheetId="184" r:id="rId42"/>
    <sheet name="PC3.05_Ind01" sheetId="207" r:id="rId43"/>
    <sheet name="PC3.05_Ind02" sheetId="135" r:id="rId44"/>
    <sheet name="PS4.01_Ind01" sheetId="191" r:id="rId45"/>
    <sheet name="PS4.01_Ind02" sheetId="143" r:id="rId46"/>
    <sheet name="PS4.02_Ind01" sheetId="145" r:id="rId47"/>
    <sheet name="PS4.02_Ind02" sheetId="146" r:id="rId48"/>
    <sheet name="PS4.02_Ind03" sheetId="202" r:id="rId49"/>
    <sheet name="PS4.02_Ind04" sheetId="203" r:id="rId50"/>
    <sheet name="PS4.03_Ind01" sheetId="147" r:id="rId51"/>
    <sheet name="PS4.03_Ind02" sheetId="150" r:id="rId52"/>
    <sheet name="PS4.03_Ind03" sheetId="152" r:id="rId53"/>
    <sheet name="PS4.03_Ind04" sheetId="185" r:id="rId54"/>
    <sheet name="PS4.03_Ind05" sheetId="204" r:id="rId55"/>
    <sheet name="PS4.03_Ind06" sheetId="206" r:id="rId56"/>
    <sheet name="PS4.04_Ind01" sheetId="155" r:id="rId57"/>
    <sheet name="PS4.04_Ind02" sheetId="210" r:id="rId58"/>
    <sheet name="PS4.04_Ind03." sheetId="158" r:id="rId59"/>
    <sheet name="PS4.05_Ind01" sheetId="193" r:id="rId60"/>
    <sheet name="PS4.05_Ind02" sheetId="186" r:id="rId61"/>
    <sheet name="PS5.03_Ind01" sheetId="159" r:id="rId62"/>
    <sheet name="PS5.03_Ind02" sheetId="161" r:id="rId63"/>
    <sheet name="PS5.03_Ind03" sheetId="166" r:id="rId64"/>
    <sheet name="PS5.03_Ind04" sheetId="209" r:id="rId65"/>
    <sheet name="PS5.04_Ind01" sheetId="167" r:id="rId66"/>
    <sheet name="PS5.04_Ind02" sheetId="168" r:id="rId67"/>
    <sheet name="PS5.04_Ind03" sheetId="169" r:id="rId68"/>
    <sheet name="PS5.04_Ind04" sheetId="171" r:id="rId69"/>
    <sheet name="PS5.05_Ind01" sheetId="172" r:id="rId70"/>
    <sheet name="PS5.05_Ind02" sheetId="198" r:id="rId71"/>
    <sheet name="PS5.05_Ind03 " sheetId="174" r:id="rId72"/>
    <sheet name="PS5.06_Ind01   " sheetId="177" r:id="rId73"/>
  </sheets>
  <definedNames>
    <definedName name="index">#REF!</definedName>
    <definedName name="indicadors">#REF!</definedName>
    <definedName name="Indivadors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09" l="1"/>
  <c r="E29" i="159"/>
  <c r="D29" i="159"/>
  <c r="H15" i="206"/>
  <c r="H15" i="204"/>
  <c r="D32" i="132"/>
  <c r="D29" i="123"/>
  <c r="G17" i="79"/>
  <c r="H17" i="79"/>
  <c r="I17" i="79"/>
  <c r="J17" i="79"/>
  <c r="F17" i="79"/>
  <c r="H4" i="83"/>
  <c r="G16" i="209"/>
  <c r="H16" i="209"/>
  <c r="D5" i="206"/>
  <c r="C5" i="223"/>
  <c r="C7" i="223"/>
  <c r="G6" i="223"/>
  <c r="G4" i="223"/>
  <c r="C4" i="223"/>
  <c r="C7" i="222"/>
  <c r="G6" i="222"/>
  <c r="C5" i="222"/>
  <c r="G4" i="222"/>
  <c r="C4" i="222"/>
  <c r="H4" i="209"/>
  <c r="I14" i="178"/>
  <c r="H4" i="122"/>
  <c r="D7" i="219"/>
  <c r="H6" i="219"/>
  <c r="H4" i="219"/>
  <c r="D5" i="219"/>
  <c r="I33" i="101"/>
  <c r="H33" i="101"/>
  <c r="I13" i="214"/>
  <c r="I14" i="214" s="1"/>
  <c r="H4" i="214"/>
  <c r="H4" i="161"/>
  <c r="G31" i="159"/>
  <c r="I31" i="191"/>
  <c r="H14" i="135"/>
  <c r="C7" i="221"/>
  <c r="G6" i="221"/>
  <c r="C5" i="221"/>
  <c r="G4" i="221"/>
  <c r="C4" i="221"/>
  <c r="C7" i="220"/>
  <c r="G6" i="220"/>
  <c r="C5" i="220"/>
  <c r="G4" i="220"/>
  <c r="C4" i="220"/>
  <c r="G31" i="123"/>
  <c r="H16" i="197"/>
  <c r="G16" i="197"/>
  <c r="E24" i="97"/>
  <c r="F24" i="97"/>
  <c r="G24" i="97"/>
  <c r="H24" i="97"/>
  <c r="I24" i="97"/>
  <c r="D24" i="97"/>
  <c r="D22" i="97"/>
  <c r="E22" i="97"/>
  <c r="F22" i="97"/>
  <c r="G22" i="97"/>
  <c r="H22" i="97"/>
  <c r="D23" i="97"/>
  <c r="E23" i="97"/>
  <c r="F23" i="97"/>
  <c r="G23" i="97"/>
  <c r="H23" i="97"/>
  <c r="E22" i="195"/>
  <c r="G4" i="195"/>
  <c r="D24" i="195"/>
  <c r="F24" i="195"/>
  <c r="D22" i="195"/>
  <c r="F22" i="195"/>
  <c r="C22" i="195"/>
  <c r="D4" i="219"/>
  <c r="I15" i="219"/>
  <c r="H15" i="219"/>
  <c r="G15" i="219"/>
  <c r="D7" i="218"/>
  <c r="H6" i="218"/>
  <c r="H4" i="218"/>
  <c r="D4" i="218"/>
  <c r="I15" i="218"/>
  <c r="H15" i="218"/>
  <c r="G15" i="218"/>
  <c r="D5" i="218"/>
  <c r="F15" i="79"/>
  <c r="I15" i="79"/>
  <c r="J15" i="79"/>
  <c r="H15" i="79"/>
  <c r="G15" i="79"/>
  <c r="H4" i="79"/>
  <c r="D7" i="79"/>
  <c r="H6" i="79"/>
  <c r="D5" i="79"/>
  <c r="D4" i="79"/>
  <c r="D7" i="217"/>
  <c r="D5" i="217"/>
  <c r="H6" i="217"/>
  <c r="H4" i="217"/>
  <c r="D4" i="217"/>
  <c r="I13" i="217"/>
  <c r="I14" i="217" s="1"/>
  <c r="H13" i="217"/>
  <c r="H14" i="217" s="1"/>
  <c r="G13" i="217"/>
  <c r="G14" i="217" s="1"/>
  <c r="F13" i="217"/>
  <c r="F14" i="217" s="1"/>
  <c r="E13" i="217"/>
  <c r="D13" i="217"/>
  <c r="D13" i="214"/>
  <c r="E13" i="214"/>
  <c r="F13" i="214"/>
  <c r="G13" i="214"/>
  <c r="H13" i="214"/>
  <c r="H14" i="214" s="1"/>
  <c r="D7" i="214"/>
  <c r="H6" i="214"/>
  <c r="D5" i="214"/>
  <c r="D4" i="214"/>
  <c r="C4" i="215"/>
  <c r="C5" i="215"/>
  <c r="C7" i="215"/>
  <c r="G6" i="215"/>
  <c r="G4" i="215"/>
  <c r="H14" i="215"/>
  <c r="E14" i="178"/>
  <c r="F14" i="178"/>
  <c r="G14" i="178"/>
  <c r="D14" i="178"/>
  <c r="D5" i="174"/>
  <c r="I26" i="174" s="1"/>
  <c r="C5" i="194"/>
  <c r="H4" i="2"/>
  <c r="H4" i="84"/>
  <c r="G4" i="194"/>
  <c r="H4" i="178"/>
  <c r="I25" i="177"/>
  <c r="I24" i="177"/>
  <c r="I27" i="177" s="1"/>
  <c r="I27" i="174"/>
  <c r="H14" i="198"/>
  <c r="I35" i="171"/>
  <c r="I34" i="171"/>
  <c r="I37" i="171" s="1"/>
  <c r="I32" i="171"/>
  <c r="I31" i="171"/>
  <c r="I32" i="169"/>
  <c r="I31" i="169"/>
  <c r="I34" i="169" s="1"/>
  <c r="I32" i="168"/>
  <c r="I32" i="167"/>
  <c r="I31" i="167"/>
  <c r="I32" i="166"/>
  <c r="I31" i="166"/>
  <c r="I34" i="166" s="1"/>
  <c r="H25" i="161"/>
  <c r="H24" i="161"/>
  <c r="I24" i="186"/>
  <c r="I26" i="186" s="1"/>
  <c r="I26" i="193"/>
  <c r="I26" i="158"/>
  <c r="G16" i="155"/>
  <c r="I32" i="185"/>
  <c r="I34" i="185" s="1"/>
  <c r="H25" i="152"/>
  <c r="H24" i="152"/>
  <c r="H27" i="152" s="1"/>
  <c r="I33" i="150"/>
  <c r="I32" i="150"/>
  <c r="I35" i="150" s="1"/>
  <c r="F57" i="147"/>
  <c r="F56" i="147"/>
  <c r="I13" i="203"/>
  <c r="H13" i="203"/>
  <c r="I13" i="202"/>
  <c r="H13" i="202"/>
  <c r="H14" i="146"/>
  <c r="I14" i="145"/>
  <c r="I25" i="143"/>
  <c r="I24" i="143"/>
  <c r="I32" i="191"/>
  <c r="G14" i="135"/>
  <c r="I31" i="184"/>
  <c r="I30" i="184"/>
  <c r="H31" i="126"/>
  <c r="H30" i="126"/>
  <c r="I32" i="132"/>
  <c r="I31" i="132"/>
  <c r="I24" i="183"/>
  <c r="I23" i="183"/>
  <c r="I25" i="118"/>
  <c r="I24" i="118"/>
  <c r="I27" i="118" s="1"/>
  <c r="I31" i="106"/>
  <c r="I33" i="106" s="1"/>
  <c r="I34" i="103"/>
  <c r="I25" i="99"/>
  <c r="I24" i="99"/>
  <c r="I27" i="99" s="1"/>
  <c r="F20" i="195"/>
  <c r="I21" i="181"/>
  <c r="I20" i="181"/>
  <c r="I22" i="180"/>
  <c r="I21" i="180"/>
  <c r="I32" i="93"/>
  <c r="I31" i="93"/>
  <c r="I29" i="91"/>
  <c r="I28" i="91"/>
  <c r="G29" i="86"/>
  <c r="G28" i="86"/>
  <c r="G23" i="85"/>
  <c r="G25" i="84"/>
  <c r="G24" i="84"/>
  <c r="I26" i="83"/>
  <c r="I25" i="83"/>
  <c r="I13" i="2"/>
  <c r="I14" i="2" s="1"/>
  <c r="H6" i="210"/>
  <c r="H4" i="210"/>
  <c r="D7" i="210"/>
  <c r="D5" i="210"/>
  <c r="D4" i="210"/>
  <c r="H14" i="178"/>
  <c r="H6" i="186"/>
  <c r="H4" i="185"/>
  <c r="H4" i="180"/>
  <c r="G31" i="86" l="1"/>
  <c r="I38" i="171"/>
  <c r="I27" i="143"/>
  <c r="I26" i="183"/>
  <c r="I34" i="132"/>
  <c r="I33" i="184"/>
  <c r="H33" i="126"/>
  <c r="I24" i="180"/>
  <c r="I34" i="93"/>
  <c r="I31" i="91"/>
  <c r="I27" i="83"/>
  <c r="I31" i="168"/>
  <c r="I34" i="168" s="1"/>
  <c r="I34" i="167"/>
  <c r="H27" i="161"/>
  <c r="I34" i="191"/>
  <c r="I23" i="181"/>
  <c r="C7" i="198"/>
  <c r="C5" i="198"/>
  <c r="D5" i="167"/>
  <c r="I33" i="167" s="1"/>
  <c r="H6" i="209"/>
  <c r="D7" i="209"/>
  <c r="D5" i="209"/>
  <c r="C15" i="209" s="1"/>
  <c r="D4" i="209"/>
  <c r="D14" i="209"/>
  <c r="H6" i="85"/>
  <c r="H4" i="85"/>
  <c r="D7" i="85"/>
  <c r="D5" i="85"/>
  <c r="D4" i="85"/>
  <c r="H6" i="84"/>
  <c r="D7" i="135"/>
  <c r="D7" i="207"/>
  <c r="H6" i="207"/>
  <c r="D5" i="207"/>
  <c r="H4" i="207"/>
  <c r="D4" i="207"/>
  <c r="D4" i="135"/>
  <c r="D27" i="161"/>
  <c r="E27" i="161"/>
  <c r="F27" i="161"/>
  <c r="G27" i="161"/>
  <c r="C27" i="161"/>
  <c r="D25" i="161"/>
  <c r="E25" i="161"/>
  <c r="F25" i="161"/>
  <c r="G25" i="161"/>
  <c r="D24" i="161"/>
  <c r="E24" i="161"/>
  <c r="F24" i="161"/>
  <c r="G24" i="161"/>
  <c r="C25" i="161"/>
  <c r="C24" i="161"/>
  <c r="H24" i="158"/>
  <c r="H23" i="158"/>
  <c r="H26" i="158" s="1"/>
  <c r="C16" i="155"/>
  <c r="D16" i="155"/>
  <c r="E16" i="155"/>
  <c r="F16" i="155"/>
  <c r="D7" i="206"/>
  <c r="H6" i="206"/>
  <c r="H4" i="206"/>
  <c r="D4" i="206"/>
  <c r="H6" i="204"/>
  <c r="D7" i="204"/>
  <c r="D5" i="204"/>
  <c r="C14" i="204" s="1"/>
  <c r="H4" i="204"/>
  <c r="D4" i="204"/>
  <c r="H34" i="185"/>
  <c r="H32" i="185"/>
  <c r="H31" i="185"/>
  <c r="E25" i="152"/>
  <c r="F25" i="152"/>
  <c r="G25" i="152"/>
  <c r="E24" i="152"/>
  <c r="F24" i="152"/>
  <c r="G24" i="152"/>
  <c r="D24" i="152"/>
  <c r="D25" i="152"/>
  <c r="D32" i="150"/>
  <c r="E32" i="150"/>
  <c r="F32" i="150"/>
  <c r="H32" i="150"/>
  <c r="G32" i="150"/>
  <c r="E57" i="147"/>
  <c r="E56" i="147"/>
  <c r="D57" i="147"/>
  <c r="D56" i="147"/>
  <c r="E13" i="203"/>
  <c r="F13" i="203"/>
  <c r="G13" i="203"/>
  <c r="D13" i="203"/>
  <c r="D7" i="203"/>
  <c r="H6" i="203"/>
  <c r="H4" i="203"/>
  <c r="D5" i="203"/>
  <c r="D4" i="203"/>
  <c r="E13" i="202"/>
  <c r="F13" i="202"/>
  <c r="G13" i="202"/>
  <c r="D13" i="202"/>
  <c r="D7" i="202"/>
  <c r="H6" i="202"/>
  <c r="H4" i="202"/>
  <c r="D5" i="202"/>
  <c r="D4" i="202"/>
  <c r="E14" i="146"/>
  <c r="F14" i="146"/>
  <c r="G14" i="146"/>
  <c r="D14" i="146"/>
  <c r="D7" i="146"/>
  <c r="H6" i="146"/>
  <c r="H4" i="146"/>
  <c r="D5" i="146"/>
  <c r="D4" i="146"/>
  <c r="H14" i="145"/>
  <c r="H27" i="143"/>
  <c r="H25" i="143"/>
  <c r="H24" i="143"/>
  <c r="H31" i="191"/>
  <c r="H13" i="2"/>
  <c r="H14" i="2" s="1"/>
  <c r="H27" i="177"/>
  <c r="H25" i="177"/>
  <c r="H24" i="177"/>
  <c r="H31" i="171" l="1"/>
  <c r="H38" i="171" s="1"/>
  <c r="H35" i="171"/>
  <c r="H34" i="171"/>
  <c r="H37" i="171" s="1"/>
  <c r="H32" i="171"/>
  <c r="H34" i="169"/>
  <c r="H32" i="169"/>
  <c r="H31" i="169"/>
  <c r="H32" i="166"/>
  <c r="H31" i="166"/>
  <c r="H34" i="166" s="1"/>
  <c r="D5" i="159"/>
  <c r="D7" i="159"/>
  <c r="G6" i="159"/>
  <c r="G4" i="159"/>
  <c r="D4" i="159"/>
  <c r="F14" i="135"/>
  <c r="E14" i="135"/>
  <c r="H6" i="135"/>
  <c r="H4" i="135"/>
  <c r="D5" i="135"/>
  <c r="H27" i="122"/>
  <c r="H27" i="174"/>
  <c r="H25" i="174"/>
  <c r="H24" i="174"/>
  <c r="G4" i="198"/>
  <c r="C4" i="198"/>
  <c r="D14" i="198"/>
  <c r="E14" i="198"/>
  <c r="F14" i="198"/>
  <c r="G14" i="198"/>
  <c r="C14" i="198"/>
  <c r="G6" i="198"/>
  <c r="H26" i="186"/>
  <c r="H24" i="186"/>
  <c r="H23" i="186"/>
  <c r="H26" i="193"/>
  <c r="H34" i="103"/>
  <c r="D31" i="101"/>
  <c r="E31" i="101"/>
  <c r="F31" i="101"/>
  <c r="G31" i="101"/>
  <c r="H31" i="101"/>
  <c r="H30" i="101"/>
  <c r="H27" i="99"/>
  <c r="H25" i="99"/>
  <c r="H24" i="99"/>
  <c r="H4" i="97"/>
  <c r="E25" i="84"/>
  <c r="F25" i="84"/>
  <c r="E24" i="84"/>
  <c r="F24" i="84"/>
  <c r="D24" i="84"/>
  <c r="D25" i="84"/>
  <c r="C32" i="184"/>
  <c r="G30" i="126"/>
  <c r="D31" i="126"/>
  <c r="E31" i="126"/>
  <c r="F31" i="126"/>
  <c r="G31" i="126"/>
  <c r="D12" i="126"/>
  <c r="F12" i="126"/>
  <c r="D14" i="126"/>
  <c r="D15" i="126"/>
  <c r="F15" i="126"/>
  <c r="F16" i="126"/>
  <c r="F17" i="126"/>
  <c r="D18" i="126"/>
  <c r="F18" i="126"/>
  <c r="D19" i="126"/>
  <c r="F19" i="126"/>
  <c r="D20" i="126"/>
  <c r="F20" i="126"/>
  <c r="D21" i="126"/>
  <c r="F21" i="126"/>
  <c r="D22" i="126"/>
  <c r="F22" i="126"/>
  <c r="E30" i="126"/>
  <c r="H6" i="197"/>
  <c r="D7" i="197"/>
  <c r="D5" i="197"/>
  <c r="H15" i="197" s="1"/>
  <c r="H4" i="197"/>
  <c r="D4" i="197"/>
  <c r="D23" i="190"/>
  <c r="E23" i="190"/>
  <c r="F23" i="190"/>
  <c r="G23" i="190"/>
  <c r="C23" i="190"/>
  <c r="D7" i="190"/>
  <c r="H6" i="190"/>
  <c r="H4" i="190"/>
  <c r="D4" i="190"/>
  <c r="D5" i="190"/>
  <c r="E25" i="114"/>
  <c r="E24" i="114"/>
  <c r="E28" i="114" s="1"/>
  <c r="D25" i="114"/>
  <c r="D24" i="114"/>
  <c r="F27" i="110"/>
  <c r="E27" i="110"/>
  <c r="D27" i="110"/>
  <c r="C27" i="110"/>
  <c r="H4" i="110"/>
  <c r="H6" i="110"/>
  <c r="D7" i="110"/>
  <c r="D5" i="110"/>
  <c r="D4" i="110"/>
  <c r="E20" i="195"/>
  <c r="D20" i="195"/>
  <c r="C20" i="195"/>
  <c r="B20" i="195"/>
  <c r="C7" i="195"/>
  <c r="G6" i="195"/>
  <c r="C5" i="195"/>
  <c r="C4" i="195"/>
  <c r="C7" i="194"/>
  <c r="C4" i="194"/>
  <c r="G6" i="194"/>
  <c r="H26" i="183"/>
  <c r="H23" i="183"/>
  <c r="H24" i="183"/>
  <c r="D5" i="123"/>
  <c r="G30" i="123" s="1"/>
  <c r="F29" i="123"/>
  <c r="E29" i="123"/>
  <c r="D31" i="123"/>
  <c r="H34" i="168"/>
  <c r="H32" i="168"/>
  <c r="H31" i="168"/>
  <c r="H30" i="168"/>
  <c r="H28" i="168"/>
  <c r="H27" i="168"/>
  <c r="H26" i="168"/>
  <c r="H25" i="168"/>
  <c r="H24" i="168"/>
  <c r="H23" i="168"/>
  <c r="H22" i="168"/>
  <c r="H21" i="168"/>
  <c r="H20" i="168"/>
  <c r="H19" i="168"/>
  <c r="H18" i="168"/>
  <c r="H17" i="168"/>
  <c r="H16" i="168"/>
  <c r="H15" i="168"/>
  <c r="H13" i="168"/>
  <c r="H32" i="167"/>
  <c r="H31" i="167"/>
  <c r="H34" i="167" s="1"/>
  <c r="H33" i="150"/>
  <c r="H35" i="150" s="1"/>
  <c r="H32" i="191"/>
  <c r="H34" i="191" s="1"/>
  <c r="H24" i="180"/>
  <c r="H31" i="184"/>
  <c r="H30" i="184"/>
  <c r="H33" i="184" s="1"/>
  <c r="H32" i="132"/>
  <c r="H31" i="132"/>
  <c r="H34" i="132" s="1"/>
  <c r="H25" i="118"/>
  <c r="H24" i="118"/>
  <c r="H27" i="118" s="1"/>
  <c r="H31" i="106"/>
  <c r="F31" i="123" l="1"/>
  <c r="E31" i="123"/>
  <c r="G33" i="126"/>
  <c r="F30" i="126"/>
  <c r="F33" i="126" s="1"/>
  <c r="D30" i="126"/>
  <c r="E33" i="126"/>
  <c r="D15" i="197"/>
  <c r="E15" i="197"/>
  <c r="F15" i="197"/>
  <c r="G15" i="197"/>
  <c r="D28" i="114"/>
  <c r="H21" i="181"/>
  <c r="H20" i="181"/>
  <c r="H22" i="180"/>
  <c r="H21" i="180"/>
  <c r="H32" i="93"/>
  <c r="H31" i="93"/>
  <c r="H34" i="93" s="1"/>
  <c r="G31" i="91"/>
  <c r="H29" i="91"/>
  <c r="G29" i="91"/>
  <c r="H28" i="91"/>
  <c r="H31" i="91" s="1"/>
  <c r="G28" i="91"/>
  <c r="F20" i="85"/>
  <c r="F23" i="85" s="1"/>
  <c r="H27" i="83"/>
  <c r="H26" i="83"/>
  <c r="G26" i="83"/>
  <c r="H25" i="83"/>
  <c r="G25" i="83"/>
  <c r="G27" i="83"/>
  <c r="D7" i="158"/>
  <c r="H6" i="158"/>
  <c r="D5" i="158"/>
  <c r="C25" i="158" s="1"/>
  <c r="H4" i="158"/>
  <c r="H6" i="180"/>
  <c r="D7" i="180"/>
  <c r="D5" i="180"/>
  <c r="D4" i="180"/>
  <c r="D5" i="106"/>
  <c r="I32" i="106" s="1"/>
  <c r="D4" i="2"/>
  <c r="D5" i="161"/>
  <c r="H26" i="161" s="1"/>
  <c r="D7" i="161"/>
  <c r="H6" i="161"/>
  <c r="D4" i="161"/>
  <c r="D5" i="193"/>
  <c r="C25" i="193" s="1"/>
  <c r="H6" i="193"/>
  <c r="D7" i="193"/>
  <c r="H4" i="193"/>
  <c r="D4" i="193"/>
  <c r="G24" i="193"/>
  <c r="F24" i="193"/>
  <c r="E24" i="193"/>
  <c r="D24" i="193"/>
  <c r="G23" i="193"/>
  <c r="G26" i="193" s="1"/>
  <c r="F23" i="193"/>
  <c r="F26" i="193" s="1"/>
  <c r="E23" i="193"/>
  <c r="D23" i="193"/>
  <c r="D26" i="193" s="1"/>
  <c r="D5" i="186"/>
  <c r="C25" i="186" s="1"/>
  <c r="D7" i="186"/>
  <c r="H4" i="186"/>
  <c r="D4" i="186"/>
  <c r="D4" i="158"/>
  <c r="D5" i="155"/>
  <c r="D7" i="155"/>
  <c r="H6" i="155"/>
  <c r="H4" i="155"/>
  <c r="D4" i="155"/>
  <c r="D4" i="184"/>
  <c r="D4" i="126"/>
  <c r="D4" i="132"/>
  <c r="D4" i="183"/>
  <c r="D4" i="123"/>
  <c r="D4" i="122"/>
  <c r="D4" i="118"/>
  <c r="D4" i="114"/>
  <c r="D4" i="188"/>
  <c r="D4" i="109"/>
  <c r="D4" i="106"/>
  <c r="D4" i="103"/>
  <c r="D4" i="101"/>
  <c r="D4" i="99"/>
  <c r="D4" i="97"/>
  <c r="D4" i="95"/>
  <c r="D5" i="181"/>
  <c r="B20" i="181" s="1"/>
  <c r="D4" i="181"/>
  <c r="D4" i="93"/>
  <c r="D4" i="91"/>
  <c r="D4" i="86"/>
  <c r="D4" i="84"/>
  <c r="D4" i="83"/>
  <c r="D4" i="178"/>
  <c r="D7" i="177"/>
  <c r="D5" i="177"/>
  <c r="G26" i="177" s="1"/>
  <c r="H6" i="177"/>
  <c r="H4" i="177"/>
  <c r="D4" i="177"/>
  <c r="D7" i="174"/>
  <c r="H6" i="174"/>
  <c r="H4" i="174"/>
  <c r="D4" i="174"/>
  <c r="D5" i="172"/>
  <c r="D7" i="172"/>
  <c r="H6" i="172"/>
  <c r="H4" i="172"/>
  <c r="D4" i="172"/>
  <c r="E34" i="171"/>
  <c r="F34" i="171"/>
  <c r="G34" i="171"/>
  <c r="D34" i="171"/>
  <c r="E31" i="171"/>
  <c r="F31" i="171"/>
  <c r="G31" i="171"/>
  <c r="D31" i="171"/>
  <c r="D7" i="171"/>
  <c r="H6" i="171"/>
  <c r="D5" i="171"/>
  <c r="H4" i="171"/>
  <c r="D4" i="171"/>
  <c r="D7" i="169"/>
  <c r="H6" i="169"/>
  <c r="D5" i="169"/>
  <c r="I33" i="169" s="1"/>
  <c r="H4" i="169"/>
  <c r="D4" i="169"/>
  <c r="D7" i="168"/>
  <c r="D5" i="168"/>
  <c r="I33" i="168" s="1"/>
  <c r="H6" i="168"/>
  <c r="H4" i="168"/>
  <c r="D4" i="168"/>
  <c r="H6" i="167"/>
  <c r="D7" i="167"/>
  <c r="H4" i="167"/>
  <c r="D4" i="167"/>
  <c r="E31" i="166"/>
  <c r="F31" i="166"/>
  <c r="G31" i="166"/>
  <c r="D31" i="166"/>
  <c r="D5" i="166"/>
  <c r="I33" i="166" s="1"/>
  <c r="D7" i="166"/>
  <c r="H6" i="166"/>
  <c r="H4" i="166"/>
  <c r="D4" i="166"/>
  <c r="E28" i="159"/>
  <c r="D28" i="159"/>
  <c r="D5" i="185"/>
  <c r="C33" i="185" s="1"/>
  <c r="D4" i="185"/>
  <c r="D5" i="152"/>
  <c r="C26" i="152" s="1"/>
  <c r="D4" i="152"/>
  <c r="D5" i="150"/>
  <c r="C34" i="150" s="1"/>
  <c r="D4" i="150"/>
  <c r="D5" i="147"/>
  <c r="D4" i="147"/>
  <c r="D5" i="145"/>
  <c r="D4" i="145"/>
  <c r="D5" i="143"/>
  <c r="C26" i="143" s="1"/>
  <c r="D4" i="143"/>
  <c r="D5" i="191"/>
  <c r="B31" i="191" s="1"/>
  <c r="D4" i="191"/>
  <c r="H6" i="185"/>
  <c r="D7" i="185"/>
  <c r="F30" i="184"/>
  <c r="D5" i="184"/>
  <c r="D5" i="126"/>
  <c r="C32" i="126" s="1"/>
  <c r="E31" i="132"/>
  <c r="F31" i="132"/>
  <c r="G31" i="132"/>
  <c r="D31" i="132"/>
  <c r="D5" i="132"/>
  <c r="E23" i="183"/>
  <c r="F23" i="183"/>
  <c r="G23" i="183"/>
  <c r="D23" i="183"/>
  <c r="D5" i="183"/>
  <c r="B23" i="183" s="1"/>
  <c r="D7" i="183"/>
  <c r="H6" i="183"/>
  <c r="H4" i="183"/>
  <c r="E24" i="122"/>
  <c r="F24" i="122"/>
  <c r="G24" i="122"/>
  <c r="D24" i="122"/>
  <c r="D5" i="122"/>
  <c r="C26" i="122" s="1"/>
  <c r="E24" i="118"/>
  <c r="F24" i="118"/>
  <c r="G24" i="118"/>
  <c r="D24" i="118"/>
  <c r="D5" i="118"/>
  <c r="I26" i="118" s="1"/>
  <c r="D5" i="114"/>
  <c r="D5" i="188"/>
  <c r="D5" i="109"/>
  <c r="E30" i="106"/>
  <c r="F30" i="106"/>
  <c r="G30" i="106"/>
  <c r="D30" i="106"/>
  <c r="H6" i="2"/>
  <c r="F31" i="103"/>
  <c r="G31" i="103"/>
  <c r="D31" i="103"/>
  <c r="D5" i="103"/>
  <c r="E30" i="101"/>
  <c r="E33" i="101" s="1"/>
  <c r="F30" i="101"/>
  <c r="F33" i="101" s="1"/>
  <c r="G30" i="101"/>
  <c r="G33" i="101" s="1"/>
  <c r="D30" i="101"/>
  <c r="D33" i="101" s="1"/>
  <c r="D5" i="101"/>
  <c r="B30" i="101" s="1"/>
  <c r="C32" i="101" s="1"/>
  <c r="E24" i="99"/>
  <c r="F24" i="99"/>
  <c r="G24" i="99"/>
  <c r="D24" i="99"/>
  <c r="D25" i="99"/>
  <c r="D5" i="99"/>
  <c r="B24" i="99" s="1"/>
  <c r="C26" i="99" s="1"/>
  <c r="D5" i="97"/>
  <c r="E14" i="95"/>
  <c r="F14" i="95"/>
  <c r="G14" i="95"/>
  <c r="D14" i="95"/>
  <c r="D5" i="95"/>
  <c r="B14" i="95" s="1"/>
  <c r="E20" i="181"/>
  <c r="E21" i="180"/>
  <c r="F21" i="180"/>
  <c r="G21" i="180"/>
  <c r="D21" i="180"/>
  <c r="G32" i="93"/>
  <c r="E31" i="93"/>
  <c r="F31" i="93"/>
  <c r="G31" i="93"/>
  <c r="D31" i="93"/>
  <c r="D5" i="93"/>
  <c r="E28" i="91"/>
  <c r="F28" i="91"/>
  <c r="D28" i="91"/>
  <c r="D29" i="91"/>
  <c r="E29" i="91"/>
  <c r="D5" i="91"/>
  <c r="E28" i="86"/>
  <c r="F28" i="86"/>
  <c r="D28" i="86"/>
  <c r="F29" i="86"/>
  <c r="E29" i="86"/>
  <c r="D29" i="86"/>
  <c r="E25" i="83"/>
  <c r="E27" i="83" s="1"/>
  <c r="F25" i="83"/>
  <c r="F27" i="83" s="1"/>
  <c r="D25" i="83"/>
  <c r="D27" i="83" s="1"/>
  <c r="E26" i="83"/>
  <c r="F26" i="83"/>
  <c r="D26" i="83"/>
  <c r="D5" i="2"/>
  <c r="F6" i="145"/>
  <c r="E30" i="91" l="1"/>
  <c r="I30" i="91"/>
  <c r="H23" i="181"/>
  <c r="C26" i="161"/>
  <c r="G26" i="161"/>
  <c r="F26" i="161"/>
  <c r="E26" i="161"/>
  <c r="D26" i="161"/>
  <c r="E33" i="169"/>
  <c r="H33" i="169"/>
  <c r="D33" i="166"/>
  <c r="H33" i="166"/>
  <c r="E26" i="174"/>
  <c r="H26" i="174"/>
  <c r="D33" i="126"/>
  <c r="E26" i="114"/>
  <c r="D26" i="114"/>
  <c r="F30" i="123"/>
  <c r="E30" i="123"/>
  <c r="D30" i="123"/>
  <c r="B31" i="168"/>
  <c r="F33" i="168"/>
  <c r="G33" i="168"/>
  <c r="H33" i="168"/>
  <c r="E33" i="168"/>
  <c r="G30" i="91"/>
  <c r="E32" i="106"/>
  <c r="H32" i="106"/>
  <c r="H30" i="91"/>
  <c r="B30" i="126"/>
  <c r="F33" i="167"/>
  <c r="H33" i="167"/>
  <c r="B31" i="132"/>
  <c r="G26" i="118"/>
  <c r="H26" i="118"/>
  <c r="G34" i="93"/>
  <c r="E26" i="193"/>
  <c r="B23" i="193"/>
  <c r="D30" i="91"/>
  <c r="B28" i="91" s="1"/>
  <c r="B24" i="143"/>
  <c r="F30" i="91"/>
  <c r="B24" i="152"/>
  <c r="B23" i="186"/>
  <c r="D33" i="168"/>
  <c r="B31" i="169"/>
  <c r="F33" i="169"/>
  <c r="G33" i="166"/>
  <c r="B24" i="174"/>
  <c r="F33" i="166"/>
  <c r="G26" i="174"/>
  <c r="E26" i="177"/>
  <c r="D33" i="169"/>
  <c r="B28" i="159"/>
  <c r="B24" i="114"/>
  <c r="E33" i="167"/>
  <c r="F26" i="177"/>
  <c r="D26" i="118"/>
  <c r="B23" i="158"/>
  <c r="E33" i="166"/>
  <c r="G33" i="169"/>
  <c r="D26" i="174"/>
  <c r="F26" i="118"/>
  <c r="E26" i="118"/>
  <c r="B32" i="150"/>
  <c r="B31" i="167"/>
  <c r="F26" i="174"/>
  <c r="B31" i="185"/>
  <c r="D33" i="167"/>
  <c r="B24" i="177"/>
  <c r="B31" i="166"/>
  <c r="G33" i="167"/>
  <c r="D26" i="177"/>
  <c r="B31" i="103"/>
  <c r="B30" i="106"/>
  <c r="B30" i="184"/>
  <c r="D32" i="106"/>
  <c r="G32" i="106"/>
  <c r="B31" i="93"/>
  <c r="F32" i="106"/>
  <c r="B24" i="118"/>
  <c r="F31" i="86"/>
  <c r="E31" i="86"/>
  <c r="E24" i="177"/>
  <c r="F24" i="177"/>
  <c r="G24" i="177"/>
  <c r="D24" i="177"/>
  <c r="E24" i="174"/>
  <c r="F24" i="174"/>
  <c r="G24" i="174"/>
  <c r="D24" i="174"/>
  <c r="G13" i="172"/>
  <c r="D13" i="172"/>
  <c r="D35" i="171"/>
  <c r="E35" i="171"/>
  <c r="F35" i="171"/>
  <c r="F37" i="171" s="1"/>
  <c r="G35" i="171"/>
  <c r="G37" i="171" s="1"/>
  <c r="E31" i="169"/>
  <c r="F31" i="169"/>
  <c r="G31" i="169"/>
  <c r="D31" i="169"/>
  <c r="F31" i="168"/>
  <c r="D31" i="159"/>
  <c r="E31" i="159"/>
  <c r="F31" i="159"/>
  <c r="E23" i="186"/>
  <c r="F23" i="186"/>
  <c r="G23" i="186"/>
  <c r="D23" i="186"/>
  <c r="E23" i="158"/>
  <c r="F23" i="158"/>
  <c r="G23" i="158"/>
  <c r="D23" i="158"/>
  <c r="E31" i="185"/>
  <c r="F31" i="185"/>
  <c r="G31" i="185"/>
  <c r="D31" i="185"/>
  <c r="F14" i="145"/>
  <c r="G14" i="145"/>
  <c r="E14" i="145"/>
  <c r="D14" i="145"/>
  <c r="D5" i="86"/>
  <c r="D5" i="84"/>
  <c r="D5" i="83"/>
  <c r="D5" i="178"/>
  <c r="E24" i="143"/>
  <c r="F24" i="143"/>
  <c r="G24" i="143"/>
  <c r="D24" i="143"/>
  <c r="E31" i="191"/>
  <c r="F31" i="191"/>
  <c r="G31" i="191"/>
  <c r="D31" i="191"/>
  <c r="D7" i="152"/>
  <c r="H6" i="152"/>
  <c r="H4" i="152"/>
  <c r="D7" i="191"/>
  <c r="H6" i="191"/>
  <c r="H4" i="191"/>
  <c r="D32" i="191"/>
  <c r="E32" i="191"/>
  <c r="F32" i="191"/>
  <c r="G32" i="191"/>
  <c r="D7" i="184"/>
  <c r="H6" i="184"/>
  <c r="H4" i="184"/>
  <c r="D7" i="122"/>
  <c r="H6" i="122"/>
  <c r="D7" i="188"/>
  <c r="H6" i="188"/>
  <c r="H4" i="188"/>
  <c r="D7" i="118"/>
  <c r="H6" i="118"/>
  <c r="H4" i="118"/>
  <c r="G27" i="168"/>
  <c r="G26" i="168"/>
  <c r="G23" i="168"/>
  <c r="G22" i="168"/>
  <c r="G21" i="168"/>
  <c r="G20" i="168"/>
  <c r="G19" i="168"/>
  <c r="G18" i="168"/>
  <c r="G17" i="168"/>
  <c r="G16" i="168"/>
  <c r="G15" i="168"/>
  <c r="G13" i="168"/>
  <c r="E30" i="168"/>
  <c r="E29" i="168"/>
  <c r="E28" i="168"/>
  <c r="E27" i="168"/>
  <c r="E26" i="168"/>
  <c r="E25" i="168"/>
  <c r="E24" i="168"/>
  <c r="E23" i="168"/>
  <c r="E22" i="168"/>
  <c r="E21" i="168"/>
  <c r="E20" i="168"/>
  <c r="E19" i="168"/>
  <c r="E16" i="168"/>
  <c r="E15" i="168"/>
  <c r="E13" i="168"/>
  <c r="D30" i="168"/>
  <c r="D28" i="168"/>
  <c r="D27" i="168"/>
  <c r="D26" i="168"/>
  <c r="D25" i="168"/>
  <c r="D24" i="168"/>
  <c r="D23" i="168"/>
  <c r="D22" i="168"/>
  <c r="D21" i="168"/>
  <c r="D19" i="168"/>
  <c r="D16" i="168"/>
  <c r="D15" i="168"/>
  <c r="D13" i="168"/>
  <c r="D31" i="168" s="1"/>
  <c r="G27" i="167"/>
  <c r="G26" i="167"/>
  <c r="G25" i="167"/>
  <c r="G24" i="167"/>
  <c r="G23" i="167"/>
  <c r="G22" i="167"/>
  <c r="G21" i="167"/>
  <c r="G20" i="167"/>
  <c r="G19" i="167"/>
  <c r="G18" i="167"/>
  <c r="G17" i="167"/>
  <c r="G16" i="167"/>
  <c r="G15" i="167"/>
  <c r="G14" i="167"/>
  <c r="G13" i="167"/>
  <c r="F23" i="167"/>
  <c r="F22" i="167"/>
  <c r="F21" i="167"/>
  <c r="F19" i="167"/>
  <c r="F18" i="167"/>
  <c r="F17" i="167"/>
  <c r="F16" i="167"/>
  <c r="F15" i="167"/>
  <c r="F13" i="167"/>
  <c r="E29" i="167"/>
  <c r="E28" i="167"/>
  <c r="E27" i="167"/>
  <c r="E26" i="167"/>
  <c r="E25" i="167"/>
  <c r="E24" i="167"/>
  <c r="E23" i="167"/>
  <c r="E22" i="167"/>
  <c r="E21" i="167"/>
  <c r="E19" i="167"/>
  <c r="E18" i="167"/>
  <c r="E17" i="167"/>
  <c r="E16" i="167"/>
  <c r="E15" i="167"/>
  <c r="E13" i="167"/>
  <c r="D28" i="167"/>
  <c r="D27" i="167"/>
  <c r="D26" i="167"/>
  <c r="D25" i="167"/>
  <c r="D24" i="167"/>
  <c r="D23" i="167"/>
  <c r="D22" i="167"/>
  <c r="D21" i="167"/>
  <c r="D20" i="167"/>
  <c r="D19" i="167"/>
  <c r="D18" i="167"/>
  <c r="D17" i="167"/>
  <c r="D16" i="167"/>
  <c r="D15" i="167"/>
  <c r="D13" i="167"/>
  <c r="D24" i="186"/>
  <c r="E24" i="186"/>
  <c r="F24" i="186"/>
  <c r="G24" i="186"/>
  <c r="D32" i="185"/>
  <c r="G32" i="185"/>
  <c r="E32" i="185"/>
  <c r="F32" i="185"/>
  <c r="D7" i="101"/>
  <c r="H6" i="101"/>
  <c r="H4" i="101"/>
  <c r="G29" i="184"/>
  <c r="G24" i="184"/>
  <c r="E26" i="184"/>
  <c r="E24" i="184"/>
  <c r="E23" i="184"/>
  <c r="E22" i="184"/>
  <c r="E28" i="184"/>
  <c r="D29" i="184"/>
  <c r="D28" i="184"/>
  <c r="D24" i="184"/>
  <c r="D22" i="184"/>
  <c r="G21" i="184"/>
  <c r="G20" i="184"/>
  <c r="G19" i="184"/>
  <c r="G18" i="184"/>
  <c r="G17" i="184"/>
  <c r="G16" i="184"/>
  <c r="G15" i="184"/>
  <c r="G12" i="184"/>
  <c r="E21" i="184"/>
  <c r="E20" i="184"/>
  <c r="E19" i="184"/>
  <c r="E18" i="184"/>
  <c r="E15" i="184"/>
  <c r="E14" i="184"/>
  <c r="E12" i="184"/>
  <c r="D21" i="184"/>
  <c r="D20" i="184"/>
  <c r="D18" i="184"/>
  <c r="D15" i="184"/>
  <c r="D14" i="184"/>
  <c r="D12" i="184"/>
  <c r="F31" i="184"/>
  <c r="D7" i="126"/>
  <c r="H6" i="126"/>
  <c r="H4" i="126"/>
  <c r="F24" i="183"/>
  <c r="E25" i="99"/>
  <c r="F25" i="99"/>
  <c r="G25" i="99"/>
  <c r="D27" i="99"/>
  <c r="D7" i="91"/>
  <c r="H6" i="91"/>
  <c r="H4" i="91"/>
  <c r="D7" i="181"/>
  <c r="H6" i="181"/>
  <c r="H4" i="181"/>
  <c r="G15" i="181"/>
  <c r="F15" i="181"/>
  <c r="F20" i="181" s="1"/>
  <c r="D14" i="181"/>
  <c r="D13" i="181"/>
  <c r="D20" i="181" s="1"/>
  <c r="B21" i="180"/>
  <c r="F20" i="180"/>
  <c r="F19" i="180"/>
  <c r="F18" i="180"/>
  <c r="F17" i="180"/>
  <c r="F16" i="180"/>
  <c r="F15" i="180"/>
  <c r="F13" i="180"/>
  <c r="E21" i="181"/>
  <c r="D19" i="180"/>
  <c r="D20" i="180"/>
  <c r="D18" i="180"/>
  <c r="D15" i="180"/>
  <c r="D16" i="180"/>
  <c r="D14" i="180"/>
  <c r="D13" i="180"/>
  <c r="E22" i="180"/>
  <c r="G22" i="180"/>
  <c r="D7" i="2"/>
  <c r="E13" i="2"/>
  <c r="F13" i="2"/>
  <c r="G13" i="2"/>
  <c r="G14" i="2" s="1"/>
  <c r="D13" i="2"/>
  <c r="D7" i="178"/>
  <c r="H6" i="178"/>
  <c r="G25" i="177"/>
  <c r="F25" i="177"/>
  <c r="E25" i="177"/>
  <c r="D25" i="177"/>
  <c r="G25" i="174"/>
  <c r="F25" i="174"/>
  <c r="E25" i="174"/>
  <c r="D25" i="174"/>
  <c r="F32" i="171"/>
  <c r="G32" i="171"/>
  <c r="D32" i="171"/>
  <c r="E32" i="171"/>
  <c r="D32" i="169"/>
  <c r="G32" i="169"/>
  <c r="F32" i="169"/>
  <c r="E32" i="169"/>
  <c r="F32" i="168"/>
  <c r="D32" i="166"/>
  <c r="F32" i="166"/>
  <c r="D7" i="86"/>
  <c r="G6" i="86"/>
  <c r="G4" i="86"/>
  <c r="G24" i="158"/>
  <c r="F24" i="158"/>
  <c r="E24" i="158"/>
  <c r="D24" i="158"/>
  <c r="D7" i="150"/>
  <c r="H6" i="150"/>
  <c r="H4" i="150"/>
  <c r="G33" i="150"/>
  <c r="F33" i="150"/>
  <c r="E33" i="150"/>
  <c r="D33" i="150"/>
  <c r="D35" i="150" s="1"/>
  <c r="D7" i="147"/>
  <c r="H6" i="147"/>
  <c r="H4" i="147"/>
  <c r="D7" i="145"/>
  <c r="F4" i="145"/>
  <c r="D7" i="143"/>
  <c r="H6" i="143"/>
  <c r="H4" i="143"/>
  <c r="G25" i="143"/>
  <c r="F25" i="143"/>
  <c r="E25" i="143"/>
  <c r="D25" i="143"/>
  <c r="D21" i="181" l="1"/>
  <c r="D23" i="181" s="1"/>
  <c r="G21" i="181"/>
  <c r="G20" i="181"/>
  <c r="G30" i="184"/>
  <c r="E30" i="184"/>
  <c r="D30" i="184"/>
  <c r="D26" i="158"/>
  <c r="E26" i="158"/>
  <c r="F26" i="158"/>
  <c r="G26" i="158"/>
  <c r="G27" i="177"/>
  <c r="D27" i="177"/>
  <c r="F27" i="177"/>
  <c r="E27" i="177"/>
  <c r="G27" i="174"/>
  <c r="F27" i="174"/>
  <c r="G31" i="168"/>
  <c r="F34" i="168"/>
  <c r="E31" i="168"/>
  <c r="E34" i="168" s="1"/>
  <c r="E32" i="168"/>
  <c r="G31" i="167"/>
  <c r="E31" i="167"/>
  <c r="F31" i="167"/>
  <c r="D31" i="167"/>
  <c r="F32" i="167"/>
  <c r="G26" i="186"/>
  <c r="F26" i="186"/>
  <c r="D34" i="191"/>
  <c r="G34" i="191"/>
  <c r="F34" i="191"/>
  <c r="E34" i="191"/>
  <c r="E23" i="181"/>
  <c r="F21" i="181"/>
  <c r="F23" i="181" s="1"/>
  <c r="F22" i="180"/>
  <c r="F24" i="180" s="1"/>
  <c r="D38" i="171"/>
  <c r="G32" i="168"/>
  <c r="D32" i="168"/>
  <c r="G32" i="167"/>
  <c r="G34" i="167"/>
  <c r="E32" i="167"/>
  <c r="D32" i="167"/>
  <c r="E26" i="186"/>
  <c r="D26" i="186"/>
  <c r="F34" i="185"/>
  <c r="E34" i="185"/>
  <c r="G34" i="185"/>
  <c r="D34" i="185"/>
  <c r="F33" i="184"/>
  <c r="E31" i="184"/>
  <c r="G31" i="184"/>
  <c r="D31" i="184"/>
  <c r="D24" i="183"/>
  <c r="D26" i="183" s="1"/>
  <c r="F26" i="183"/>
  <c r="G24" i="183"/>
  <c r="E24" i="183"/>
  <c r="D22" i="180"/>
  <c r="G24" i="180"/>
  <c r="E24" i="180"/>
  <c r="D27" i="174"/>
  <c r="E27" i="174"/>
  <c r="E38" i="171"/>
  <c r="G38" i="171"/>
  <c r="F38" i="171"/>
  <c r="D34" i="169"/>
  <c r="E34" i="169"/>
  <c r="F34" i="169"/>
  <c r="G34" i="169"/>
  <c r="F34" i="166"/>
  <c r="G32" i="166"/>
  <c r="G34" i="166" s="1"/>
  <c r="D34" i="166"/>
  <c r="E32" i="166"/>
  <c r="E34" i="166" s="1"/>
  <c r="D27" i="152"/>
  <c r="E27" i="152"/>
  <c r="F27" i="152"/>
  <c r="G27" i="152"/>
  <c r="E35" i="150"/>
  <c r="G35" i="150"/>
  <c r="F35" i="150"/>
  <c r="E27" i="143"/>
  <c r="F27" i="143"/>
  <c r="D27" i="143"/>
  <c r="G27" i="143"/>
  <c r="D7" i="132"/>
  <c r="H6" i="132"/>
  <c r="H4" i="132"/>
  <c r="G32" i="132"/>
  <c r="F32" i="132"/>
  <c r="E32" i="132"/>
  <c r="D7" i="123"/>
  <c r="H6" i="123"/>
  <c r="H4" i="123"/>
  <c r="G25" i="122"/>
  <c r="G27" i="122" s="1"/>
  <c r="F25" i="122"/>
  <c r="F27" i="122" s="1"/>
  <c r="E25" i="122"/>
  <c r="D25" i="122"/>
  <c r="D27" i="122" s="1"/>
  <c r="G27" i="118"/>
  <c r="G25" i="118"/>
  <c r="F25" i="118"/>
  <c r="E25" i="118"/>
  <c r="D25" i="118"/>
  <c r="D7" i="114"/>
  <c r="H6" i="114"/>
  <c r="H4" i="114"/>
  <c r="D7" i="109"/>
  <c r="H6" i="109"/>
  <c r="H4" i="109"/>
  <c r="H6" i="106"/>
  <c r="D7" i="106"/>
  <c r="H4" i="106"/>
  <c r="G31" i="106"/>
  <c r="F31" i="106"/>
  <c r="F33" i="106" s="1"/>
  <c r="E31" i="106"/>
  <c r="D31" i="106"/>
  <c r="D33" i="106" s="1"/>
  <c r="D7" i="103"/>
  <c r="H6" i="103"/>
  <c r="H4" i="103"/>
  <c r="G32" i="103"/>
  <c r="F32" i="103"/>
  <c r="D32" i="103"/>
  <c r="E17" i="95"/>
  <c r="F17" i="95"/>
  <c r="D7" i="99"/>
  <c r="H6" i="99"/>
  <c r="H4" i="99"/>
  <c r="D7" i="97"/>
  <c r="H6" i="97"/>
  <c r="G15" i="95"/>
  <c r="D7" i="95"/>
  <c r="H6" i="95"/>
  <c r="H4" i="95"/>
  <c r="D17" i="95"/>
  <c r="F15" i="95"/>
  <c r="E15" i="95"/>
  <c r="D15" i="95"/>
  <c r="D7" i="93"/>
  <c r="H6" i="93"/>
  <c r="H4" i="93"/>
  <c r="E32" i="93"/>
  <c r="E34" i="93" s="1"/>
  <c r="F32" i="93"/>
  <c r="F34" i="93" s="1"/>
  <c r="D32" i="93"/>
  <c r="D34" i="93" s="1"/>
  <c r="F29" i="91"/>
  <c r="D7" i="84"/>
  <c r="E21" i="85"/>
  <c r="E20" i="85"/>
  <c r="D20" i="85"/>
  <c r="D21" i="85"/>
  <c r="D7" i="83"/>
  <c r="H6" i="83"/>
  <c r="F14" i="2"/>
  <c r="E14" i="2"/>
  <c r="D14" i="2"/>
  <c r="D23" i="85" l="1"/>
  <c r="G23" i="181"/>
  <c r="G34" i="168"/>
  <c r="F34" i="167"/>
  <c r="E27" i="122"/>
  <c r="F27" i="118"/>
  <c r="E27" i="118"/>
  <c r="D34" i="168"/>
  <c r="E34" i="167"/>
  <c r="D34" i="167"/>
  <c r="D33" i="184"/>
  <c r="E33" i="184"/>
  <c r="G33" i="184"/>
  <c r="G26" i="183"/>
  <c r="E26" i="183"/>
  <c r="G27" i="99"/>
  <c r="D24" i="180"/>
  <c r="D34" i="132"/>
  <c r="G34" i="132"/>
  <c r="E34" i="132"/>
  <c r="F34" i="132"/>
  <c r="D27" i="118"/>
  <c r="E33" i="106"/>
  <c r="G33" i="106"/>
  <c r="G34" i="103"/>
  <c r="D34" i="103"/>
  <c r="F34" i="103"/>
  <c r="E27" i="99"/>
  <c r="F27" i="99"/>
  <c r="G17" i="95"/>
  <c r="D31" i="91"/>
  <c r="F31" i="91"/>
  <c r="E31" i="91"/>
  <c r="E23" i="85"/>
  <c r="D31" i="86"/>
  <c r="E31" i="103"/>
  <c r="E34" i="103" s="1"/>
  <c r="E32" i="1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Bertobillo Cunill</author>
  </authors>
  <commentList>
    <comment ref="B15" authorId="0" shapeId="0" xr:uid="{F3034BEE-B016-4D76-AC43-63AC74C09B6C}">
      <text>
        <r>
          <rPr>
            <b/>
            <sz val="9"/>
            <color indexed="81"/>
            <rFont val="Tahoma"/>
            <charset val="1"/>
          </rPr>
          <t>Sara Bertobillo Cunill:</t>
        </r>
        <r>
          <rPr>
            <sz val="9"/>
            <color indexed="81"/>
            <rFont val="Tahoma"/>
            <charset val="1"/>
          </rPr>
          <t xml:space="preserve">
Perquè està dues vegades estadística i amb dades diferents?</t>
        </r>
      </text>
    </comment>
  </commentList>
</comments>
</file>

<file path=xl/sharedStrings.xml><?xml version="1.0" encoding="utf-8"?>
<sst xmlns="http://schemas.openxmlformats.org/spreadsheetml/2006/main" count="3909" uniqueCount="633">
  <si>
    <t>Codi SGIQ</t>
  </si>
  <si>
    <t>Nom</t>
  </si>
  <si>
    <t>Propietari del Procés</t>
  </si>
  <si>
    <t>Responsable de la gestió</t>
  </si>
  <si>
    <t>Objectiu</t>
  </si>
  <si>
    <t>Processos vinculats</t>
  </si>
  <si>
    <t>Objectiu de Qualitat/Pla Estratègic</t>
  </si>
  <si>
    <t>PE1.01_Ind01.</t>
  </si>
  <si>
    <t>Percentatge d’assoliment dels objectius associats als indicadors del quadre de comandament</t>
  </si>
  <si>
    <t>Degà</t>
  </si>
  <si>
    <t>Gestora de Qualitat</t>
  </si>
  <si>
    <t xml:space="preserve"> PE1.01. Definició de la Política de Qualitat</t>
  </si>
  <si>
    <t>PE1.01_Ind02.</t>
  </si>
  <si>
    <t>Percentatge de propostes de millora implementades, per curs acadèmic</t>
  </si>
  <si>
    <t>PE1-01_Ind03</t>
  </si>
  <si>
    <t>Número d'accions implantades,a  la Facultat de Ciències, directament relacionades amb els ODS (Pla Estratègic 2022/2023 fins 2024/2025)</t>
  </si>
  <si>
    <t>3 accions dins el mandat</t>
  </si>
  <si>
    <t>Pla Estratègic</t>
  </si>
  <si>
    <t>PE1.01_Ind04</t>
  </si>
  <si>
    <t>Percentatge d'assistència, del degà, a les sessions de les Comissions del Rectorat  (Pla Estratègic 2022/2023 fins 2024/2025)</t>
  </si>
  <si>
    <t>PE1.02_Ind01.</t>
  </si>
  <si>
    <t>Percentatge de processos modificats a cada revisió</t>
  </si>
  <si>
    <t xml:space="preserve"> Vicedegana d'Afers Acadèmics de Grau</t>
  </si>
  <si>
    <t xml:space="preserve"> PE1.02. Definició, Desplegament, Seguiment i Revisió del Sistema de Garantia Interna de Qualitat (SGIQ)</t>
  </si>
  <si>
    <t>PE1.02_Ind02.</t>
  </si>
  <si>
    <t>Nombre d'informes de qualitat presentats a la Junta Permanent i/o Junta de Facultat</t>
  </si>
  <si>
    <t>mínim 2</t>
  </si>
  <si>
    <t>PE1.02_Ind03</t>
  </si>
  <si>
    <t>Distribució per categories del personal de gestió de qualitat a la Facultat de Ciències.</t>
  </si>
  <si>
    <t>PE1.03_Ind01.</t>
  </si>
  <si>
    <t>Ràtio de places en primera opció versus places ofertades, per curs acadèmic i titulació</t>
  </si>
  <si>
    <t>Vicedegà d’Economia i Afers Acadèmics de Postgrau</t>
  </si>
  <si>
    <t>≥ 0.8</t>
  </si>
  <si>
    <t>PE1.03. Creació,  Disseny i Extinció de Titulacions. Mapa de Titulacions</t>
  </si>
  <si>
    <t>PE1.03_Ind02</t>
  </si>
  <si>
    <t xml:space="preserve">Taxa de graduació, a temps complert, per curs acadèmic i titulació (per cohort, N+1, Graus). </t>
  </si>
  <si>
    <t>≥ 50%</t>
  </si>
  <si>
    <t>PE1.03_Ind03</t>
  </si>
  <si>
    <t>Taxa de graduació per curs acadèmic, a temps complert, i titulació (per cohort, n+1, Màsters).</t>
  </si>
  <si>
    <t>≥ 85%</t>
  </si>
  <si>
    <t>PE1.03_Ind04</t>
  </si>
  <si>
    <t xml:space="preserve">Taxa d’ocupació de les persones titulades, per titulació </t>
  </si>
  <si>
    <t>≥70%</t>
  </si>
  <si>
    <t>PE1.03_Ind05</t>
  </si>
  <si>
    <t>Percentatge de titulacions coordinades que s’han presentat a AQU per ser verificades, en relació amb la totalitat de titulacions coordinades</t>
  </si>
  <si>
    <t>&lt;25%</t>
  </si>
  <si>
    <t>PE1.03_Ind06</t>
  </si>
  <si>
    <t>Percentatge de titulacions extingides en comparació amb la totalitat de titulacions coordinades per la Facultat.</t>
  </si>
  <si>
    <t>PE1.03_Ind07</t>
  </si>
  <si>
    <t>Percentatge de titulacions híbrides coordinades.</t>
  </si>
  <si>
    <t>&lt;10%</t>
  </si>
  <si>
    <t>PC2.01_Ind01</t>
  </si>
  <si>
    <t>Percentatge de guies docents publicades respecte a les assignatures programades</t>
  </si>
  <si>
    <t>Gestor de Programació Docent</t>
  </si>
  <si>
    <t>PC2.01. Planificació i Programació d’Assignatures. Guies Docents</t>
  </si>
  <si>
    <t>PC2.01_Ind02</t>
  </si>
  <si>
    <t xml:space="preserve">Percentatge d’hores de docència impartides per PDI amb títol de Doctor </t>
  </si>
  <si>
    <t>PC2.01_Ind03</t>
  </si>
  <si>
    <t>Valoració mitjana a l’afirmació “Fins ara s’ha seguit la programació de l’assignatura que s’explica a la guia docent dels Graus"</t>
  </si>
  <si>
    <t>≥3</t>
  </si>
  <si>
    <t>PC2.02. Programació de Treball de Fi d'Estudis (TFE)</t>
  </si>
  <si>
    <t>PC2.01_Ind04</t>
  </si>
  <si>
    <t xml:space="preserve">Valoració mitjana a l’afirmació “Fins ara s’ha seguit la programació de l’assignatura que s’explica a la guia docent dels Màsters"  </t>
  </si>
  <si>
    <t>PC2.01_Ind05</t>
  </si>
  <si>
    <t>Evolució del número d'assignatures en anglès als Màsters oficials de la Facultat (Pla Estratègic 2022/2023 a 2024/2025)</t>
  </si>
  <si>
    <t>Augmentar 5%</t>
  </si>
  <si>
    <t>PC2.02_Ind01.</t>
  </si>
  <si>
    <t>Grau de satisfacció dels/de les estudiants amb el TFE, segons les enquestes d’avaluació corresponents (enquesta titulats)</t>
  </si>
  <si>
    <t>≥3,5</t>
  </si>
  <si>
    <t>PC2.03_Ind01.</t>
  </si>
  <si>
    <t xml:space="preserve">Persona responsable de convenis i pràctiques dins la Gestió Acadèmica </t>
  </si>
  <si>
    <t>PC2.03 Programació de Pràctiques Externes (PE)</t>
  </si>
  <si>
    <t xml:space="preserve">PC2.03_Ind02. </t>
  </si>
  <si>
    <t xml:space="preserve"> Grau de satisfacció dels/de les participants en programes de Pràctiques Externes. (Graus) (Enquesta Titulats)</t>
  </si>
  <si>
    <t xml:space="preserve"> PC2.04_Ind01.</t>
  </si>
  <si>
    <t>Nombre de Comissions de Docència realitzades per curs i titulació</t>
  </si>
  <si>
    <t>≥1</t>
  </si>
  <si>
    <t>PC2.04. Seguiment  i Millora de Titulacions</t>
  </si>
  <si>
    <t xml:space="preserve">PC2.04_Ind02. </t>
  </si>
  <si>
    <t>Taxa d’abandonament a primer curs a temps complert</t>
  </si>
  <si>
    <t>≤25%</t>
  </si>
  <si>
    <t xml:space="preserve">PC2.04_Ind03. </t>
  </si>
  <si>
    <t>Taxa d’eficiència per titulació</t>
  </si>
  <si>
    <t>PC2.04_Ind04.</t>
  </si>
  <si>
    <r>
      <rPr>
        <sz val="10"/>
        <rFont val="Calibri"/>
        <family val="2"/>
      </rPr>
      <t>≥</t>
    </r>
    <r>
      <rPr>
        <sz val="10"/>
        <rFont val="Century Gothic"/>
        <family val="2"/>
      </rPr>
      <t>80%</t>
    </r>
  </si>
  <si>
    <t>PC2.05_Ind01.</t>
  </si>
  <si>
    <t>PC2.05. Modificació de Titulacions</t>
  </si>
  <si>
    <t xml:space="preserve">PC3.01_Ind01. </t>
  </si>
  <si>
    <t xml:space="preserve">Ràtio de sol.licituds en 1a preferència per l'oferta </t>
  </si>
  <si>
    <t xml:space="preserve">Gestor Acadèmic </t>
  </si>
  <si>
    <t>PC3.01. Accés a Estudis i Perfils d’Ingrés</t>
  </si>
  <si>
    <t>PC3.01_Ind02.</t>
  </si>
  <si>
    <t>Percentatge d’homes i dones matriculats per curs acadèmic i titulació</t>
  </si>
  <si>
    <t>40-60%</t>
  </si>
  <si>
    <t>PC3.01_Ind03.</t>
  </si>
  <si>
    <t>Percentatge global d’alumnat matriculat als màsters oficials provinent de l’estranger</t>
  </si>
  <si>
    <t>PC3.01_Ind04.</t>
  </si>
  <si>
    <t>Taxa de rendiment de nou accés per Grau</t>
  </si>
  <si>
    <t>PC3.01_Ind05.</t>
  </si>
  <si>
    <t>Evolució del número d'alumnat matriculat en els cursos propedèutics (Pla Estratègic 2022/2023 a 2023/2024)</t>
  </si>
  <si>
    <t>PC3.02_Ind01.</t>
  </si>
  <si>
    <t xml:space="preserve">Valoració mitjana a l’afirmació “La tutorització ha estat útil i ha contribuït a millorar el meu aprenentatge” per titulació (objectiu ≥3 sobre 5) </t>
  </si>
  <si>
    <t>Vicedegà d'Alumnat i de Promoció</t>
  </si>
  <si>
    <t>PC3.02. Tutorització de l’Alumnat</t>
  </si>
  <si>
    <t xml:space="preserve">PC3.03_Ind01. </t>
  </si>
  <si>
    <t xml:space="preserve">Nombre de convenis de mobilitat </t>
  </si>
  <si>
    <t xml:space="preserve">Vicedegana d’Intercanvis </t>
  </si>
  <si>
    <t xml:space="preserve">Responsable d’Intercanvis de la GA del centre </t>
  </si>
  <si>
    <t>PC3.03. Mobilitat de l’Alumnat</t>
  </si>
  <si>
    <t xml:space="preserve">PC3.03_Ind02. </t>
  </si>
  <si>
    <t>Valoració mitjana a l’afirmació “Les accions de mobilitat que he realitzat han estat rellevants per al meu aprenentatge” (Objectiu ≥3 sobre 5)</t>
  </si>
  <si>
    <t>PC3.03_Ind03</t>
  </si>
  <si>
    <t>Percentatge d’alumnat estranger (Graus)</t>
  </si>
  <si>
    <t xml:space="preserve">PC3.03_Ind04 </t>
  </si>
  <si>
    <t>&lt;3</t>
  </si>
  <si>
    <t>PC3.03_Ind05</t>
  </si>
  <si>
    <t>&lt;6</t>
  </si>
  <si>
    <t>PC3.04_Ind01.</t>
  </si>
  <si>
    <t xml:space="preserve">Taxa de rendiment per curs acadèmic i titulació  </t>
  </si>
  <si>
    <r>
      <rPr>
        <sz val="10"/>
        <rFont val="Calibri"/>
        <family val="2"/>
      </rPr>
      <t>≥</t>
    </r>
    <r>
      <rPr>
        <sz val="10"/>
        <rFont val="Century Gothic"/>
        <family val="2"/>
      </rPr>
      <t xml:space="preserve"> 80%</t>
    </r>
  </si>
  <si>
    <t>PC3.04. Avaluació de l’Alumnat</t>
  </si>
  <si>
    <t xml:space="preserve">PC3.04_Ind02. </t>
  </si>
  <si>
    <t>Puntuació mitjana a l’afirmació “El sistema d’avaluació s’explica clarament a la Guia Docent de l’assignatura” de l’enquesta de satisfacció d’assignatura dels graus i de mòdul dels màsters</t>
  </si>
  <si>
    <r>
      <rPr>
        <sz val="10"/>
        <rFont val="Calibri"/>
        <family val="2"/>
      </rPr>
      <t>≥</t>
    </r>
    <r>
      <rPr>
        <sz val="10"/>
        <rFont val="Century Gothic"/>
        <family val="2"/>
      </rPr>
      <t xml:space="preserve"> 3</t>
    </r>
  </si>
  <si>
    <t>PC3.04_Ind03.</t>
  </si>
  <si>
    <t>Valoració mitjana a l’afirmació “Els continguts de les proves i altres activitats d’avaluació es corresponen amb els continguts del curs i també amb el temps que el professorat va dedicar a cada tema</t>
  </si>
  <si>
    <t>≥ 3</t>
  </si>
  <si>
    <t>PC3.05_Ind01.</t>
  </si>
  <si>
    <t>Nombre de persones inscrites a les Jornades de Portes Obertes</t>
  </si>
  <si>
    <t xml:space="preserve">Vicedegà d’Alumnat i de Promoció  </t>
  </si>
  <si>
    <t xml:space="preserve">Secretària de Deganat </t>
  </si>
  <si>
    <t>≥ 2000</t>
  </si>
  <si>
    <t>PC3.05. Activitats de Promoció i Difusió</t>
  </si>
  <si>
    <t>PC3.05_Ind02.</t>
  </si>
  <si>
    <t>Número d'activitats realitzades pel Consell d'Estudiants (Pla Estratègic 2022/2023 a 2024/2025)</t>
  </si>
  <si>
    <t xml:space="preserve">PS4.01_Ind01. </t>
  </si>
  <si>
    <t>Taxa de matrícula respecte a les places ofertades per curs acadèmic i titulació (1er curs)</t>
  </si>
  <si>
    <t>PS4.01. Organització Acadèmica</t>
  </si>
  <si>
    <t xml:space="preserve">PS4.01_Ind02. </t>
  </si>
  <si>
    <t>Valoració mitjana de la pregunta “Els serveis de suport a l’estudiant (informació, matriculació, tràmits acadèmics, beques, orientació, etc.) m’han ofert un bon assessorament i atenció”</t>
  </si>
  <si>
    <t xml:space="preserve">PS4.02_Ind01. </t>
  </si>
  <si>
    <t>Percentatge de Taules de Mesures Correctores (TMC) retornades respecte de les TMC emeses</t>
  </si>
  <si>
    <t>Administradora de Centre</t>
  </si>
  <si>
    <t>PS4.02. Gestió de la Política de PAS</t>
  </si>
  <si>
    <t>PS4.02_Ind02.</t>
  </si>
  <si>
    <t>PS4.02_Ind03.</t>
  </si>
  <si>
    <t>Percentatge de queixes i suggeriments respostos dins de termini</t>
  </si>
  <si>
    <t>PS4.02_Ind04.</t>
  </si>
  <si>
    <t xml:space="preserve"> Temps mitjà de resposta igual o inferior a 7,5 dies hàbils de les queixes i els suggeriments (termini màxim: 15 dies hàbils)</t>
  </si>
  <si>
    <t xml:space="preserve">PS4.03_Ind01. </t>
  </si>
  <si>
    <t>Percentatge de PDI desglossat per categoria i sexe</t>
  </si>
  <si>
    <t xml:space="preserve">PS4.03. Gestió de la Política de PDI  </t>
  </si>
  <si>
    <t xml:space="preserve">PS4.03_Ind02. </t>
  </si>
  <si>
    <t>Percentatge d’hores de docència impartides per PDI amb títol de doctor (Graus)</t>
  </si>
  <si>
    <t>≥ 70%</t>
  </si>
  <si>
    <t xml:space="preserve">PS4.03_Ind03. </t>
  </si>
  <si>
    <t xml:space="preserve">Percentatge d’hores de docència impartides per PDI permanent </t>
  </si>
  <si>
    <t xml:space="preserve">≥ 55% </t>
  </si>
  <si>
    <t xml:space="preserve"> PS4.03_Ind04. </t>
  </si>
  <si>
    <t xml:space="preserve">Valoració mitjana per titulació a l’afirmació “Estic satisfet/a amb el professorat”, de l’enquesta de satisfacció dels titulats i titulades
</t>
  </si>
  <si>
    <t>PS4.03_Ind05.</t>
  </si>
  <si>
    <t>PS4.03_Ind06.</t>
  </si>
  <si>
    <t>1 bimensual</t>
  </si>
  <si>
    <t xml:space="preserve"> PS4.04_Ind01. </t>
  </si>
  <si>
    <t>Vicedegà d'Economia i d’Afers Acadèmics de Postgrau</t>
  </si>
  <si>
    <t>Gestora Econòmica</t>
  </si>
  <si>
    <t xml:space="preserve"> PS4.04 Gestió d’Espais i Equipaments</t>
  </si>
  <si>
    <t xml:space="preserve"> PS4.04_Ind03.  </t>
  </si>
  <si>
    <t>Valoració mitjana de la pregunta “Les instal·lacions (aules i espais docents) han estat adequades per afavorir el meu aprenentatge”.</t>
  </si>
  <si>
    <t xml:space="preserve"> </t>
  </si>
  <si>
    <t xml:space="preserve">PS4.04_Ind02. </t>
  </si>
  <si>
    <t>Import de la despesa econòmica que s’ha invertit a l’Edifici C en concepte de manteniment correctiu i preventiu (funcionament)</t>
  </si>
  <si>
    <t>Destinar el 100% dels recursos disponibles</t>
  </si>
  <si>
    <t xml:space="preserve"> PS4.05_Ind01.</t>
  </si>
  <si>
    <t>Els recursos facilitats pels serveis de biblioteca i de suport a la docència han respost a les meves necessitats (Enquesta sobre el grau de satisfacció dels egressats i de les egressades de la UAB)</t>
  </si>
  <si>
    <t>PS4.05. Gestió de Serveis</t>
  </si>
  <si>
    <t xml:space="preserve">PS4.05_Ind02. </t>
  </si>
  <si>
    <t>L’ús del Campus Virtual ha facilitat el meu aprenentatge (Enquestes sobre el grau de satisfacció dels egressats i de les egressades de la UAB)</t>
  </si>
  <si>
    <t xml:space="preserve"> PS5.03_Ind01.</t>
  </si>
  <si>
    <t xml:space="preserve"> Taxa d’ocupació de les persones titulades, per titulació. (Indicador PE1.03-Ind-05) </t>
  </si>
  <si>
    <t xml:space="preserve"> PS5.03_Ind02. </t>
  </si>
  <si>
    <t xml:space="preserve"> Nombre d’alumnes que realitzen Pràctiques curriculars desglossat per curs acadèmic i per titulació. </t>
  </si>
  <si>
    <t>PS05.03. Inserció laboral</t>
  </si>
  <si>
    <t xml:space="preserve"> PS5.03_Ind03. </t>
  </si>
  <si>
    <t>Valoració mitjana a l’afirmació “La formació rebuda m’ha permès millorar les capacitats per a l’activitat professional”.</t>
  </si>
  <si>
    <t>PS5.04. Satisfacció dels Grups d’Interès</t>
  </si>
  <si>
    <t>PS5.03_Ind04.</t>
  </si>
  <si>
    <r>
      <t>Evolució del nombre d'empreses (Indicador Pla Estratègic cursos de 2022/2023 fins 2024/2025).</t>
    </r>
    <r>
      <rPr>
        <sz val="8"/>
        <rFont val="Times New Roman"/>
        <family val="1"/>
      </rPr>
      <t> </t>
    </r>
  </si>
  <si>
    <t>Responsable de Pràctiques</t>
  </si>
  <si>
    <t xml:space="preserve"> PS5.04_Ind01. </t>
  </si>
  <si>
    <t>Percentatge de participació a les enquestes d’avaluació docent, desglossat per titulacions.</t>
  </si>
  <si>
    <t xml:space="preserve"> PS5.04_Ind02. </t>
  </si>
  <si>
    <t>Percentatge de participació a les enquestes de satisfacció de les assignatures, desglossat per titulacions.</t>
  </si>
  <si>
    <t xml:space="preserve"> PS5.04_Ind03. </t>
  </si>
  <si>
    <t>Valoració mitjana per titulació de l’afirmació “Estic satisfet/a amb la titulació” a les enquestes de satisfacció de la UAB.</t>
  </si>
  <si>
    <t xml:space="preserve"> PS5.04_Ind04. </t>
  </si>
  <si>
    <t>Percentatge de respostes per titulació de l’afirmació “Tornaria a triar la mateixa titulació” a les enquestes de satisfacció de la UAB</t>
  </si>
  <si>
    <t>G65%; M 85%</t>
  </si>
  <si>
    <t xml:space="preserve"> PS5.05_Ind01. </t>
  </si>
  <si>
    <t>Taxa d’eficàcia: percentatge de suggeriments i queixes respostes (15 dies hàbils)</t>
  </si>
  <si>
    <t xml:space="preserve"> PS5.05_Ind02. </t>
  </si>
  <si>
    <t>Temps mitjà de resposta igual o inferior a 7,5 dies hàbils de les queixes i els suggeriments (termini màxim: 15 dies hàbils</t>
  </si>
  <si>
    <t xml:space="preserve"> PS5.05_Ind03. </t>
  </si>
  <si>
    <t>Valoració mitjana a la pregunta “He rebut resposta adequada a les meves queixes i suggeriments</t>
  </si>
  <si>
    <t xml:space="preserve"> PS5.06_Ind01. </t>
  </si>
  <si>
    <t>Valoració mitjana a la pregunta: "La informació referent a la titulació al web és accessible i m’ha resultat útil".</t>
  </si>
  <si>
    <t xml:space="preserve"> PS5.06. Informació Pública</t>
  </si>
  <si>
    <t>Fitxa de seguiment de l'indicador</t>
  </si>
  <si>
    <t>1. Codi del l'indicador</t>
  </si>
  <si>
    <t>2. Nom de l'indicador</t>
  </si>
  <si>
    <t>3. Objectiu</t>
  </si>
  <si>
    <t>4. Classificació</t>
  </si>
  <si>
    <t>Política i Objectius de Qualitat</t>
  </si>
  <si>
    <t>5. Freqüència de la medició</t>
  </si>
  <si>
    <t>Anual</t>
  </si>
  <si>
    <t>6. Propietari</t>
  </si>
  <si>
    <t>7. Processos als que afecta</t>
  </si>
  <si>
    <t>8. Resultats</t>
  </si>
  <si>
    <t>2017/2018</t>
  </si>
  <si>
    <t>2018/2019</t>
  </si>
  <si>
    <t>2019/2020</t>
  </si>
  <si>
    <t>2020/2021</t>
  </si>
  <si>
    <t>2021/2022</t>
  </si>
  <si>
    <t>2022/2023</t>
  </si>
  <si>
    <t>Valor real</t>
  </si>
  <si>
    <t>Valor objectiu</t>
  </si>
  <si>
    <t>% Compliment</t>
  </si>
  <si>
    <t>9. Gràfic</t>
  </si>
  <si>
    <t>10. Observacions</t>
  </si>
  <si>
    <t>3.  Objectiu</t>
  </si>
  <si>
    <t>Estratègic</t>
  </si>
  <si>
    <t>_</t>
  </si>
  <si>
    <t xml:space="preserve">_ </t>
  </si>
  <si>
    <t>No es tenen dades d'aquest indicador dels cursos anteriors al 2022/2023, ja que es tracta d'un indicador del Pla estratègic de l'actual Equip de Deaganat (curs 2022/2023 fins 2024/2025).</t>
  </si>
  <si>
    <t>Compliment</t>
  </si>
  <si>
    <t xml:space="preserve"> Política i Objectius de Qualitat</t>
  </si>
  <si>
    <t>6. Responsable de la gestió</t>
  </si>
  <si>
    <t>Graus</t>
  </si>
  <si>
    <t>Ciències Ambientals</t>
  </si>
  <si>
    <t>Ciències Ambientals + Geologia</t>
  </si>
  <si>
    <t>Estadística Aplicada</t>
  </si>
  <si>
    <t>Física</t>
  </si>
  <si>
    <t>Física + Matemàtiques</t>
  </si>
  <si>
    <t>Física + Química</t>
  </si>
  <si>
    <t>Geologia</t>
  </si>
  <si>
    <t>Matemàtica Computacional i Analítica de Dades</t>
  </si>
  <si>
    <t>Matemàtiques</t>
  </si>
  <si>
    <t>Nanociència i Nanotecnologia</t>
  </si>
  <si>
    <t>Química</t>
  </si>
  <si>
    <t>Valor objectiu ≥ 0.8</t>
  </si>
  <si>
    <t>&gt; o = 0,8</t>
  </si>
  <si>
    <t>Total titulacions</t>
  </si>
  <si>
    <t>2015/2016</t>
  </si>
  <si>
    <t>2016/2017</t>
  </si>
  <si>
    <t>(*)</t>
  </si>
  <si>
    <t>Ciències Ambientals i Geologia</t>
  </si>
  <si>
    <t xml:space="preserve">Física i Matemátiques
</t>
  </si>
  <si>
    <t>Física i  Química</t>
  </si>
  <si>
    <t>Totals &gt;50%</t>
  </si>
  <si>
    <t>Total</t>
  </si>
  <si>
    <t xml:space="preserve">Per l'entrada de la cohort 2019/2022, en data 13 de març de 2024 no hi ha les dades disponibles al Datadash. </t>
  </si>
  <si>
    <t>Estudis Interdisciplinaris en Sostenibilitat Ambiental, Econòmica i Social</t>
  </si>
  <si>
    <t>Física d'Altes Energies, Astrofísica i Cosmologiada</t>
  </si>
  <si>
    <t>Història de la Ciència. Ciència, Història i Societat</t>
  </si>
  <si>
    <t>Modelització per a la Ciència i l'Enginyeria</t>
  </si>
  <si>
    <t>Paleobiologia i Registre Fòssil</t>
  </si>
  <si>
    <t>Química Industrial i Introducció a la Recerca de la Química</t>
  </si>
  <si>
    <t>NÚM 85%</t>
  </si>
  <si>
    <t>TOTALS</t>
  </si>
  <si>
    <t>*</t>
  </si>
  <si>
    <t>70,4 %%</t>
  </si>
  <si>
    <t>**</t>
  </si>
  <si>
    <r>
      <t>**</t>
    </r>
    <r>
      <rPr>
        <sz val="10"/>
        <color rgb="FF000000"/>
        <rFont val="Times New Roman"/>
        <family val="1"/>
      </rPr>
      <t xml:space="preserve"> *</t>
    </r>
  </si>
  <si>
    <r>
      <t>*</t>
    </r>
    <r>
      <rPr>
        <sz val="10"/>
        <color rgb="FF000000"/>
        <rFont val="Times New Roman"/>
        <family val="1"/>
      </rPr>
      <t>**</t>
    </r>
  </si>
  <si>
    <t>Física d’Altes Energies, Astrofísica i Cosmologia</t>
  </si>
  <si>
    <t>Història de la Ciència: Ciència, Història i Societat</t>
  </si>
  <si>
    <t>Modelització per a la Ciència, Història i Societat</t>
  </si>
  <si>
    <t>Nanociència i Nanotecnologia Avançades</t>
  </si>
  <si>
    <t>Aquest indicador s'extreu de l'enquesta fa AQU cada 3 anys.</t>
  </si>
  <si>
    <t>Química Industrial i Introducció a la Recerca Química</t>
  </si>
  <si>
    <t>&gt;=70%</t>
  </si>
  <si>
    <t>2023/2024</t>
  </si>
  <si>
    <t>Total titulacions coordinades</t>
  </si>
  <si>
    <t>% titulacions presentades per ser verificades</t>
  </si>
  <si>
    <t>Objectiu màx 25%</t>
  </si>
  <si>
    <t>compliment</t>
  </si>
  <si>
    <t>Objectiu màx 25</t>
  </si>
  <si>
    <t xml:space="preserve">Estadística Aplicada   </t>
  </si>
  <si>
    <t xml:space="preserve">Nanociència i Nanotecnologia   </t>
  </si>
  <si>
    <t>Matemàtiques Computacional de Dades</t>
  </si>
  <si>
    <t>__</t>
  </si>
  <si>
    <t>Estudis inter. en sostenibilitat ambiental, econòmica i social</t>
  </si>
  <si>
    <t>Física d'Altes Energies, Astrofísica i Cosmologia</t>
  </si>
  <si>
    <t>Història de la Ciència: ciència, història i societat</t>
  </si>
  <si>
    <t>Modelització per a la ciència i l'enginyeria</t>
  </si>
  <si>
    <t xml:space="preserve">Nanociència i Nanotecnologia avançades </t>
  </si>
  <si>
    <t>Química industrial i introducció a la recerca química</t>
  </si>
  <si>
    <t xml:space="preserve">Paleobiologia i Registre Fòssil </t>
  </si>
  <si>
    <t>90.3%</t>
  </si>
  <si>
    <t>CCAA+Geologia</t>
  </si>
  <si>
    <t>Física+Matemàtiques</t>
  </si>
  <si>
    <t>Física +Química</t>
  </si>
  <si>
    <t>97.34%</t>
  </si>
  <si>
    <t xml:space="preserve"> Total</t>
  </si>
  <si>
    <t>Valor</t>
  </si>
  <si>
    <t>3</t>
  </si>
  <si>
    <t>Estudis interdisciplinaris en sostenibilitat ambiental, econòmica i social</t>
  </si>
  <si>
    <t>En els casos on hi ha cap dada és perquè la mostra és molt baixa i es considera que no és rellevant. Curs 2022/2023: Per alguns màsters només hi ha dades d'un semestre, per tant, no s'ha fet la mitjana dels dos semestres (Estudis Interdisciplinaris, Física d'Altes Energies i Química Industrial).</t>
  </si>
  <si>
    <t>Història de la Ciència; Ciència, Història i Societat</t>
  </si>
  <si>
    <t>Modelització per a la Ciència i la Enginyeria</t>
  </si>
  <si>
    <t xml:space="preserve">- </t>
  </si>
  <si>
    <t>-</t>
  </si>
  <si>
    <t>Número</t>
  </si>
  <si>
    <t>Número any anterior</t>
  </si>
  <si>
    <t>Percentatge</t>
  </si>
  <si>
    <t>Objectiu Augmentar 5%</t>
  </si>
  <si>
    <t>Curs 2021/2022 s'han restat el número d'assignatures de paleobiologia del curs 20/21, ja que en el curs 21/22 no es van publicar, per tant, no les hem tingut en compte a l'hora de calcular el % curs 21/22.</t>
  </si>
  <si>
    <t>3. objectiu</t>
  </si>
  <si>
    <t>Valoració mitjana a l’afirmació “El treball de fi d’estudis m’ha estat útil per consolidar les competències de la titulació”
Objectiu ≥ 3 sobre 5</t>
  </si>
  <si>
    <t>1 </t>
  </si>
  <si>
    <t> 1</t>
  </si>
  <si>
    <t>Aquesta pregunta només està a l'enquesta de titulats dels graus no dels màsters. En el curs 2022/2023 no s'han pogut mostrar els resultats, ja que en data 2/04/2024 no estan publicats els resultats de l’enquesta de titulats</t>
  </si>
  <si>
    <t xml:space="preserve">Química  </t>
  </si>
  <si>
    <t>Valor Objectiu</t>
  </si>
  <si>
    <t>Total titulacions &lt; o = 10</t>
  </si>
  <si>
    <t xml:space="preserve">Total titulacions  </t>
  </si>
  <si>
    <t>11. Gràfic</t>
  </si>
  <si>
    <t>Física+Química</t>
  </si>
  <si>
    <r>
      <t xml:space="preserve"> </t>
    </r>
    <r>
      <rPr>
        <sz val="11"/>
        <rFont val="Roboto"/>
      </rPr>
      <t>En el curs 2022/2023 no s'han pogut mostrar els resultats, ja que en data 2/04/2024 no estan publicats els resultats de l’enquesta de titulats</t>
    </r>
  </si>
  <si>
    <t xml:space="preserve">Química   </t>
  </si>
  <si>
    <t>Física i Matemàtiques</t>
  </si>
  <si>
    <t>Física i Química</t>
  </si>
  <si>
    <t xml:space="preserve"> Matemàtica Computacional i Anàlisi de Dades</t>
  </si>
  <si>
    <t>Modelització per a la Ciència</t>
  </si>
  <si>
    <t>Nanociència i Nanotecnologia avançade</t>
  </si>
  <si>
    <t>Estudis interdisciplinars en Sostenibilitat Ambiental, Econòmica i Social</t>
  </si>
  <si>
    <t>13% </t>
  </si>
  <si>
    <t>Ciències Ambientals i Grau en Geologia</t>
  </si>
  <si>
    <t>97%*</t>
  </si>
  <si>
    <t>10% </t>
  </si>
  <si>
    <t>95%*</t>
  </si>
  <si>
    <t>24% </t>
  </si>
  <si>
    <t>0% </t>
  </si>
  <si>
    <t>26% </t>
  </si>
  <si>
    <t>Matemàtica Computacional</t>
  </si>
  <si>
    <t>9% </t>
  </si>
  <si>
    <t>11% </t>
  </si>
  <si>
    <t>12% </t>
  </si>
  <si>
    <t xml:space="preserve"> _ </t>
  </si>
  <si>
    <t>2% </t>
  </si>
  <si>
    <t>4% </t>
  </si>
  <si>
    <t>3% </t>
  </si>
  <si>
    <t>Les dades 20/21 dels graus no estan ben comptabilitzades, com a conseqüència de l'atac informàtic de l'octubre 2021.</t>
  </si>
  <si>
    <t>Curs 2022/2023 modifiquem el nom, incorporem a temps complert.</t>
  </si>
  <si>
    <t>2017/2018(TC)</t>
  </si>
  <si>
    <t>2018/2019(TC)</t>
  </si>
  <si>
    <t>2019/2020(TC)</t>
  </si>
  <si>
    <t>2020/2021(TC)</t>
  </si>
  <si>
    <t>2021/2022(TC)</t>
  </si>
  <si>
    <t>2022/2023(TC)</t>
  </si>
  <si>
    <t xml:space="preserve"> S'ha agafat només el temps complert.</t>
  </si>
  <si>
    <t>Dades actualitzades novembre 2023.</t>
  </si>
  <si>
    <t>3.Objectiu</t>
  </si>
  <si>
    <t>3.04</t>
  </si>
  <si>
    <t>Participació</t>
  </si>
  <si>
    <t>31,73 1er sem/20,85% 2n sem</t>
  </si>
  <si>
    <t xml:space="preserve">35,21% 1er sem/20,7% 2n sem </t>
  </si>
  <si>
    <t>Nombre de titulacions amb una valoració global superior o igual a 3 sobre 4. (Enquesta d’assignatures)</t>
  </si>
  <si>
    <t>&gt; o=3</t>
  </si>
  <si>
    <t>no</t>
  </si>
  <si>
    <t>No</t>
  </si>
  <si>
    <t>si</t>
  </si>
  <si>
    <t>Si</t>
  </si>
  <si>
    <t>Total modificacions presentades AQU</t>
  </si>
  <si>
    <t>Total modificacions presentades AQU amb avaluació favorable</t>
  </si>
  <si>
    <t>Curs acadèmic</t>
  </si>
  <si>
    <t>2019/20</t>
  </si>
  <si>
    <t>Estudi</t>
  </si>
  <si>
    <t>Ràtio</t>
  </si>
  <si>
    <t>Grau en Física</t>
  </si>
  <si>
    <t>Grau en Matemàtiques</t>
  </si>
  <si>
    <t>Grau en Física i Matemàtiques</t>
  </si>
  <si>
    <t>Grau en Ciències Ambientals</t>
  </si>
  <si>
    <t>Grau en Geologia</t>
  </si>
  <si>
    <t>Grau en Nanociència i Nanotecnologia</t>
  </si>
  <si>
    <t>Grau en Química</t>
  </si>
  <si>
    <t>Grau en Física i Química</t>
  </si>
  <si>
    <t>Grau en Ciències Ambientals / Geologia</t>
  </si>
  <si>
    <t>Grau en Matemàtica Computacional i Analítica de Dades</t>
  </si>
  <si>
    <t>Grau en Estadística Aplicada</t>
  </si>
  <si>
    <t>Total Titulacions</t>
  </si>
  <si>
    <t>Total titulacions &gt; o = 0,8</t>
  </si>
  <si>
    <t>Titulació</t>
  </si>
  <si>
    <t>Dona</t>
  </si>
  <si>
    <t>Home</t>
  </si>
  <si>
    <t>CCAA i Geologia</t>
  </si>
  <si>
    <t>Màsters</t>
  </si>
  <si>
    <t>Estudis Interdisciplinaris en Sostenibilitat Ambiental</t>
  </si>
  <si>
    <t>Física d’Altes Energies</t>
  </si>
  <si>
    <t>Història de la Ciència</t>
  </si>
  <si>
    <t>Modelització per a la Ciència i l’Enginyeria</t>
  </si>
  <si>
    <t>número total de titulacions</t>
  </si>
  <si>
    <t>titulacions = o &gt;20%</t>
  </si>
  <si>
    <t xml:space="preserve">  </t>
  </si>
  <si>
    <t>Cursos propadeutics</t>
  </si>
  <si>
    <t>Total curs anterior</t>
  </si>
  <si>
    <t>15% +</t>
  </si>
  <si>
    <t> 3,86</t>
  </si>
  <si>
    <t>3,88 </t>
  </si>
  <si>
    <t> 3,14</t>
  </si>
  <si>
    <t>Matemàtica Computacional I Analítica de Dades</t>
  </si>
  <si>
    <t> 3,40</t>
  </si>
  <si>
    <t> 3,27</t>
  </si>
  <si>
    <t> 3,53</t>
  </si>
  <si>
    <t xml:space="preserve"> Total titulacion &lt;=3</t>
  </si>
  <si>
    <t>Percentatge de participació</t>
  </si>
  <si>
    <t>(*) En data 2/04/2024 no tenim les dades d'aquesta enquesta, pel curs 2022/2023.</t>
  </si>
  <si>
    <t>ERASMUS +</t>
  </si>
  <si>
    <t>0521 - Ciències del medi ambient</t>
  </si>
  <si>
    <t>0532 - Ciències de la terra</t>
  </si>
  <si>
    <t xml:space="preserve"> 0540 - Matemàtiques i estadística, no definit
0541 - Matemàtiques
0549 - Matemàtiques i estadística,no classificat</t>
  </si>
  <si>
    <t>0542 - Estadística</t>
  </si>
  <si>
    <t>0533 - Física</t>
  </si>
  <si>
    <t>13.3 Química</t>
  </si>
  <si>
    <t>SICUE</t>
  </si>
  <si>
    <t>0000 - Física i Matemàtiques</t>
  </si>
  <si>
    <t>0000 - Física i Química</t>
  </si>
  <si>
    <t>303200000000 - Física</t>
  </si>
  <si>
    <t>303300000000 - Geología</t>
  </si>
  <si>
    <t>303400000000 - Matemáticas</t>
  </si>
  <si>
    <t>307400000000 - Química</t>
  </si>
  <si>
    <t>307700000000 - Ciencias Ambientales</t>
  </si>
  <si>
    <t>400400000000 - Estadística</t>
  </si>
  <si>
    <t>EXCHANGE PROGRAM</t>
  </si>
  <si>
    <t>000 - Centres diversos</t>
  </si>
  <si>
    <t>103 - Facultat de Ciències</t>
  </si>
  <si>
    <t>Total (ERASMUS+SICUE+EXCHANGE PROGRAM)</t>
  </si>
  <si>
    <t>Curs 2022/2023 S'ha modificat la codificació de les àrees d'estudi. Queden substituïts els antics codis, pels nous codis ISCED</t>
  </si>
  <si>
    <t>En els casos on no hi ha dades és perquè no hi ha suficient mostra, a excepció del Grau en Matemàtica Computacional i Analítica de Dades que es va implantar en el curs 18/19 i fins el curs 21/22 no hi ha titulats. Aquesta enquesta és la titulats. En el curs 21/22 l'enquesta l'ha portada a terme AQU. (*)En el curs 2022,2023:  En data 2/04/2024 no s’han publicat les dades de l’enquesta de titulats d’AQU.</t>
  </si>
  <si>
    <t>Pais Naixement (Estudiants matriculats)</t>
  </si>
  <si>
    <t>Andorra</t>
  </si>
  <si>
    <t>Argentina</t>
  </si>
  <si>
    <t>Austria</t>
  </si>
  <si>
    <t>Bangladesh</t>
  </si>
  <si>
    <t>Bolivia</t>
  </si>
  <si>
    <t>Brazil</t>
  </si>
  <si>
    <t>Bulgaria</t>
  </si>
  <si>
    <t>Byelarus</t>
  </si>
  <si>
    <t>Chile</t>
  </si>
  <si>
    <t>China</t>
  </si>
  <si>
    <t>Colombia</t>
  </si>
  <si>
    <t>Cuba</t>
  </si>
  <si>
    <t>Dominican Republic</t>
  </si>
  <si>
    <t>Ecuador</t>
  </si>
  <si>
    <t>El Salvador</t>
  </si>
  <si>
    <t>Ethiopia</t>
  </si>
  <si>
    <t>France</t>
  </si>
  <si>
    <t>Germany</t>
  </si>
  <si>
    <t>Honduras</t>
  </si>
  <si>
    <t>Hungary</t>
  </si>
  <si>
    <t>India</t>
  </si>
  <si>
    <t>Israel</t>
  </si>
  <si>
    <t>Italy</t>
  </si>
  <si>
    <t>Japan</t>
  </si>
  <si>
    <t>Kazakhstan</t>
  </si>
  <si>
    <t>Mexico</t>
  </si>
  <si>
    <t>Moldova</t>
  </si>
  <si>
    <t>Mongolia</t>
  </si>
  <si>
    <t>Morocco</t>
  </si>
  <si>
    <t>Netherlands</t>
  </si>
  <si>
    <t>Nicaragua</t>
  </si>
  <si>
    <t>Nigeria</t>
  </si>
  <si>
    <t>Pakistan</t>
  </si>
  <si>
    <t>Paraguay</t>
  </si>
  <si>
    <t>Peru</t>
  </si>
  <si>
    <t>Portugal</t>
  </si>
  <si>
    <t>Romania</t>
  </si>
  <si>
    <t>Russia</t>
  </si>
  <si>
    <t>Senegal</t>
  </si>
  <si>
    <t>Singapore</t>
  </si>
  <si>
    <t>Spain</t>
  </si>
  <si>
    <t>Sweden</t>
  </si>
  <si>
    <t>Switzerland</t>
  </si>
  <si>
    <t>Ukraine</t>
  </si>
  <si>
    <t>United Kingdom</t>
  </si>
  <si>
    <t>United States</t>
  </si>
  <si>
    <t>Uruguay</t>
  </si>
  <si>
    <t>Venezuela</t>
  </si>
  <si>
    <t>TOTAL</t>
  </si>
  <si>
    <t xml:space="preserve"> Total %</t>
  </si>
  <si>
    <t>Compliment valor objectiu  meys d'un 10%</t>
  </si>
  <si>
    <t>2022/23</t>
  </si>
  <si>
    <t>2021/22</t>
  </si>
  <si>
    <t>2020/21</t>
  </si>
  <si>
    <t>Programa de mobilitat</t>
  </si>
  <si>
    <t>Erasmus+</t>
  </si>
  <si>
    <t>Visitants Facultats</t>
  </si>
  <si>
    <t>UAB Exchange Programme</t>
  </si>
  <si>
    <t>Study Abroad</t>
  </si>
  <si>
    <t>Total alumant</t>
  </si>
  <si>
    <t>Compliment objectiu&lt; 3</t>
  </si>
  <si>
    <t>objectiu</t>
  </si>
  <si>
    <t>Total %</t>
  </si>
  <si>
    <t xml:space="preserve">Home </t>
  </si>
  <si>
    <t>0,10 1</t>
  </si>
  <si>
    <t>Estadística Aplicada i Sociologia</t>
  </si>
  <si>
    <t>Total Alumnat</t>
  </si>
  <si>
    <t>Objectiu &lt; 6</t>
  </si>
  <si>
    <t>%</t>
  </si>
  <si>
    <t xml:space="preserve"> Química Industrial i Introducció a la Recerca de la Química</t>
  </si>
  <si>
    <t xml:space="preserve"> S'ha fet la mitja entre els dos semestres</t>
  </si>
  <si>
    <t xml:space="preserve">Nombre de persones </t>
  </si>
  <si>
    <t>Valor de l'objectiu</t>
  </si>
  <si>
    <t>Núm.Activitats</t>
  </si>
  <si>
    <t xml:space="preserve"> _</t>
  </si>
  <si>
    <t>Aquest Equip de Deganat va començar el seu mandat en el curs 22/23, per tant, no tenim dades d'aquest indicador estratègic.</t>
  </si>
  <si>
    <t xml:space="preserve">Objectiu </t>
  </si>
  <si>
    <t xml:space="preserve">Valor objectiu </t>
  </si>
  <si>
    <t xml:space="preserve"> - Enquesta de titulats. En algunes titulacions no hi ha suficient mostra.  (*)  En data 2/04/2024 no estan publics els resultats de l’enquesta de titulats que realitza AQU.</t>
  </si>
  <si>
    <t>Emeses</t>
  </si>
  <si>
    <t>Retornades</t>
  </si>
  <si>
    <t xml:space="preserve"> La taula que manca està retornada parcialment, és a dir, que està retornada la part que és competència de la Direcció d’Arquitectura i Logística, però no la que ha d’emplenar l’àmbit on s’ha fet l’avaluació del lloc de treball.
Hem de tenir present, que aquestes dades corresponen a la Facultat de Biociències i a la de Ciències, ja que comparteixen Edifici.</t>
  </si>
  <si>
    <t>VALOR</t>
  </si>
  <si>
    <t>Curs 2021/2022 De les 3 avaluacions no retornades, 2 no es van poder fer perquè les persones estaven de baixa per incapacitat transitòria i 1 va ser pel ciberatac, cosa que va fer que es fes en una única avaluació la corresponent als 3 i als 6 mesos.</t>
  </si>
  <si>
    <t>Cal tenir present que, com a conseqüència del ciberatac (11/10/21), aquest aplicatiu va deixar d'estar operatiu des de l'11/10/21 fins el 30/03/22, per tant aquest informe no és comparable amb el d'altres cursos.</t>
  </si>
  <si>
    <t>Dies</t>
  </si>
  <si>
    <t>Departament</t>
  </si>
  <si>
    <t>Categoria</t>
  </si>
  <si>
    <t>Dones</t>
  </si>
  <si>
    <t>Homes</t>
  </si>
  <si>
    <t>% dones</t>
  </si>
  <si>
    <t>Departament de Física</t>
  </si>
  <si>
    <t>Associat</t>
  </si>
  <si>
    <t>Catedràtic contractat</t>
  </si>
  <si>
    <t>Catedràtic universitari</t>
  </si>
  <si>
    <t>Professors emèrits</t>
  </si>
  <si>
    <t>Professor agregat</t>
  </si>
  <si>
    <t>Professor lector</t>
  </si>
  <si>
    <t>Visitant</t>
  </si>
  <si>
    <t>Associat permanent estranger</t>
  </si>
  <si>
    <t>Titular universitari</t>
  </si>
  <si>
    <t>Departament de Geologia</t>
  </si>
  <si>
    <t>Catedràtic escola universitària</t>
  </si>
  <si>
    <t>Departament de Matemàtiques</t>
  </si>
  <si>
    <t>Departament de Química</t>
  </si>
  <si>
    <t>Total Dones</t>
  </si>
  <si>
    <t>Total 30%</t>
  </si>
  <si>
    <t>Compliment%</t>
  </si>
  <si>
    <t>CCAA + Geologia</t>
  </si>
  <si>
    <t xml:space="preserve"> Paleobiologia i Registre Fòssil</t>
  </si>
  <si>
    <t>Física i matemàtiques</t>
  </si>
  <si>
    <t xml:space="preserve"> (*) no hi ha dades disponibles al Datadash en data 18/03/2024.</t>
  </si>
  <si>
    <t>8. Responsable de la gestió</t>
  </si>
  <si>
    <t>--</t>
  </si>
  <si>
    <t xml:space="preserve"> S'ha fet la mitja entre els dos semestres, a excepció del curs 19/20, que només es va realitzar l'enquesta al primer semestre a causa de la pandèmia Covid 19.                        (*) En data 18/03/2024 no hi ha les dades publicades  de l’enquesta de titulats que realitza d’AQU.</t>
  </si>
  <si>
    <t>Número d'accions polítiques que s'han fet amb les coordinacions</t>
  </si>
  <si>
    <t>Aquest indicador és un indicador del Pla Estratègic, aquest Equip de Deganat va entrar al setembre del 2022, en el curs 2022/2023, per tant, no tenim dades del curs 2021/2022.                                         (*) Dada des de setembre del 2022 fins el 22/05/2023.</t>
  </si>
  <si>
    <t xml:space="preserve">Número de reunions fetes entre el Deganat i totes les direccions de Departament de la Facultat   </t>
  </si>
  <si>
    <t>1 BIMENSUAL</t>
  </si>
  <si>
    <t>Despesa</t>
  </si>
  <si>
    <t> 38.960,08 €</t>
  </si>
  <si>
    <t>Pressupost</t>
  </si>
  <si>
    <t>valor objectiu</t>
  </si>
  <si>
    <t>Despesa Executada</t>
  </si>
  <si>
    <t xml:space="preserve"> (*) En data 2/04/2024 no estan publicats els resultats de l’enquesta de tittulats.                                                </t>
  </si>
  <si>
    <t> 4,19</t>
  </si>
  <si>
    <t> 4,29</t>
  </si>
  <si>
    <t> 4,50</t>
  </si>
  <si>
    <t> 4,33</t>
  </si>
  <si>
    <t> 4,44</t>
  </si>
  <si>
    <t> 4,13</t>
  </si>
  <si>
    <t> 4,55</t>
  </si>
  <si>
    <t>(*) En data 2/04/2024 no estan publicats els resultats de les enquestes d etitulats i titulades que fa AQU.</t>
  </si>
  <si>
    <t> 3,91</t>
  </si>
  <si>
    <t> 4,16</t>
  </si>
  <si>
    <t xml:space="preserve">(*) En data 2/04/2024 no estan publicats els resultats de les enquestes de titulats i titulades que realitza AQU.
 </t>
  </si>
  <si>
    <t>Palleobiologia i Registre Fòssil</t>
  </si>
  <si>
    <t>3. Tipologia d'indicador</t>
  </si>
  <si>
    <t>9. Processos als que afecta</t>
  </si>
  <si>
    <t>10. Resultats</t>
  </si>
  <si>
    <t>Grau</t>
  </si>
  <si>
    <t>Estudis Intersdisciplinars en Sost. Ambiental, Econ. i Social</t>
  </si>
  <si>
    <t>Total &gt;10</t>
  </si>
  <si>
    <t xml:space="preserve">Total </t>
  </si>
  <si>
    <r>
      <t xml:space="preserve"> </t>
    </r>
    <r>
      <rPr>
        <sz val="11"/>
        <rFont val="Roboto"/>
      </rPr>
      <t>Cal destacar que, en el cas dels dobles graus, s'identifica l'alumnat amb la titulació simple ja que comparteixen la mateixa assignatura.</t>
    </r>
  </si>
  <si>
    <t xml:space="preserve"> (*) En data 3/04/2024 no tenim els resultats de l’enquesta de titulats i tiludaes que realitza AQU.</t>
  </si>
  <si>
    <t>Evolució del nombre d'empreses</t>
  </si>
  <si>
    <t>increment</t>
  </si>
  <si>
    <t xml:space="preserve">  Política i Objectius de Qualitat</t>
  </si>
  <si>
    <t>NA</t>
  </si>
  <si>
    <t xml:space="preserve">__ </t>
  </si>
  <si>
    <t xml:space="preserve"> S'ha fet la mitja entre els dos semestres a excepció del curs 19/20 que només esv realitzar l'enquesta al primer semestre.</t>
  </si>
  <si>
    <t xml:space="preserve"> S'ha fet la mitja entre els dos semestres a excepció del curs 19/20 que només es va fer l'enquesta al primer semestre. Curs 19/20 només es va fer l'enquesta al primer semestre. A conseqüència de la pandèmia Covid19.</t>
  </si>
  <si>
    <t xml:space="preserve"> (*) En data 2/04/2024 no tenim els resultats de l’enquesta de titulats i titulades que realitza AQU.</t>
  </si>
  <si>
    <t>Matemàtica Computacional i Analítica de dades</t>
  </si>
  <si>
    <t xml:space="preserve"> GRAUS</t>
  </si>
  <si>
    <t>Vaor objectriu graus</t>
  </si>
  <si>
    <t xml:space="preserve"> MÀSTERS</t>
  </si>
  <si>
    <t>Vaor objectriu Màsters</t>
  </si>
  <si>
    <t>% Compliment (M)</t>
  </si>
  <si>
    <t xml:space="preserve"> (*) En data 2/04/2024 no estan publicades els resultats de els enquestes de titulats i titulades que realitza AQU.</t>
  </si>
  <si>
    <t>% Compliment (G)</t>
  </si>
  <si>
    <t>Temps mitjà</t>
  </si>
  <si>
    <t xml:space="preserve"> (*) En data 2/04/2024 no tenim les dades de l’enquesta de titulats i titulades que realitza AQU.</t>
  </si>
  <si>
    <r>
      <t>M</t>
    </r>
    <r>
      <rPr>
        <sz val="9"/>
        <color rgb="FF000000"/>
        <rFont val="Times New Roman"/>
        <family val="1"/>
      </rPr>
      <t>atemàtica Computacional i Analítica de Dades</t>
    </r>
  </si>
  <si>
    <t xml:space="preserve"> 
(*) En data 2/04/2024 no tenim dades de l’enquesta de titulats i titulades que realitza AQU.</t>
  </si>
  <si>
    <t>Recursos Humans</t>
  </si>
  <si>
    <t>1.5</t>
  </si>
  <si>
    <t>Gestor Acadèmic</t>
  </si>
  <si>
    <t>Gestora de Programació Docent</t>
  </si>
  <si>
    <t xml:space="preserve"> Nombre mínim d’entitats col·laboradores en el marc de PE, per curs acadèmic i titulació</t>
  </si>
  <si>
    <t>Nombre de titulacions amb una valoració global superior o igual a 3 sobre 4 (Enquesta d’assignatures)</t>
  </si>
  <si>
    <t>Percentatge de propostes de modificació presentades a AQU que han obtingut l'avaluació favorable desglossades per curs acadèmic, per Grau i Màster.</t>
  </si>
  <si>
    <t>&lt;10</t>
  </si>
  <si>
    <t>15 dies hàbils</t>
  </si>
  <si>
    <r>
      <rPr>
        <sz val="7"/>
        <rFont val="Times New Roman"/>
        <family val="1"/>
      </rPr>
      <t xml:space="preserve"> </t>
    </r>
    <r>
      <rPr>
        <sz val="10"/>
        <rFont val="Century Gothic"/>
        <family val="2"/>
      </rPr>
      <t>Nombre d’informes d’avaluació retornats respecte del total rebuts</t>
    </r>
  </si>
  <si>
    <r>
      <rPr>
        <sz val="7"/>
        <rFont val="Times New Roman"/>
        <family val="1"/>
      </rPr>
      <t xml:space="preserve"> </t>
    </r>
    <r>
      <rPr>
        <sz val="10"/>
        <rFont val="Century Gothic"/>
        <family val="2"/>
      </rPr>
      <t>Número d'accions polítiques que s'han fet amb les coordinacions (Pla Estratègic 2022/2023 fins 2024/2025)</t>
    </r>
  </si>
  <si>
    <r>
      <t xml:space="preserve">Número de reunions fetes entre el Deganat i totes les direccions de Departament de la Facultat per ajudar al seguiment del Pla estratègic del nou equip de Deganat </t>
    </r>
    <r>
      <rPr>
        <strike/>
        <sz val="10"/>
        <rFont val="Century Gothic"/>
        <family val="2"/>
      </rPr>
      <t xml:space="preserve"> </t>
    </r>
    <r>
      <rPr>
        <sz val="10"/>
        <rFont val="Century Gothic"/>
        <family val="2"/>
      </rPr>
      <t>(2022/2023 a 2024/2025)</t>
    </r>
  </si>
  <si>
    <r>
      <rPr>
        <sz val="7"/>
        <rFont val="Times New Roman"/>
        <family val="1"/>
      </rPr>
      <t xml:space="preserve"> </t>
    </r>
    <r>
      <rPr>
        <sz val="10"/>
        <rFont val="Century Gothic"/>
        <family val="2"/>
      </rPr>
      <t xml:space="preserve">Import de la Despesa econòmica de la Facultat destinada a l’adquisició, renovació d’equipament dels laboratoris i altres necessitats docents. </t>
    </r>
  </si>
  <si>
    <t>Objectiu &lt;3</t>
  </si>
  <si>
    <t>Valor objectiu &lt;6</t>
  </si>
  <si>
    <t>Valor objectiu &lt;10</t>
  </si>
  <si>
    <t>Objectiu de Qualitat.Grups d'interès</t>
  </si>
  <si>
    <t>Objectiu de Qualitat.Objectiu de Qualitat.Grups d'interès</t>
  </si>
  <si>
    <t>Objectiu de Qualitat. Organització i gestió de recursos</t>
  </si>
  <si>
    <t>Objectiu de Qualitat. Objectiu de Qualitat. Organització i gestió de recursos</t>
  </si>
  <si>
    <t xml:space="preserve"> Objectiu de Qualitat. Qualitat dels programes formatius</t>
  </si>
  <si>
    <t>Objectiu de Qualitat. Qualitat dels programes formatius</t>
  </si>
  <si>
    <t>Objectiu de Qualitat. Cultura de Qualitat</t>
  </si>
  <si>
    <t>Objectiu de Qualitat. Millora Contínua</t>
  </si>
  <si>
    <t>Catàleg d'Indicadors/ Quadre de Comandament del SGIQ de la Facultat de Ciències (UAB)</t>
  </si>
  <si>
    <t>Percentatge d’alumnat rebut per mitjà de programes de mobilitat (Incoming_ Graus)8Pla estratègic 2022-2025)</t>
  </si>
  <si>
    <t>Percentatge d’alumnat sortint per mitjà de programes de mobilitat (outgoing_ Graus)(Pla Estratègic 2022/2025)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</si>
</sst>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0.000%"/>
    <numFmt numFmtId="165" formatCode="0.0%"/>
    <numFmt numFmtId="166" formatCode="#,##0.00\ &quot;€&quot;"/>
  </numFmts>
  <fonts count="9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i/>
      <sz val="9"/>
      <color rgb="FFFF0000"/>
      <name val="Arial"/>
      <family val="2"/>
      <scheme val="minor"/>
    </font>
    <font>
      <b/>
      <sz val="18"/>
      <color rgb="FFC00000"/>
      <name val="Verdana"/>
      <family val="2"/>
    </font>
    <font>
      <sz val="10"/>
      <color rgb="FF000000"/>
      <name val="Roboto"/>
    </font>
    <font>
      <b/>
      <sz val="10"/>
      <color rgb="FFFFFFFF"/>
      <name val="Roboto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Roboto"/>
    </font>
    <font>
      <sz val="10"/>
      <color theme="1"/>
      <name val="Roboto"/>
    </font>
    <font>
      <sz val="10"/>
      <color theme="1"/>
      <name val="Arial"/>
      <family val="2"/>
    </font>
    <font>
      <sz val="11"/>
      <color theme="1"/>
      <name val="Roboto"/>
    </font>
    <font>
      <b/>
      <sz val="16"/>
      <color theme="1"/>
      <name val="Roboto"/>
    </font>
    <font>
      <u/>
      <sz val="11"/>
      <color rgb="FF000000"/>
      <name val="Roboto"/>
    </font>
    <font>
      <sz val="10"/>
      <color rgb="FF222222"/>
      <name val="Arial"/>
      <family val="2"/>
    </font>
    <font>
      <sz val="9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Century Gothic"/>
      <family val="2"/>
    </font>
    <font>
      <sz val="11"/>
      <color rgb="FFFF0000"/>
      <name val="Roboto"/>
    </font>
    <font>
      <sz val="10"/>
      <color rgb="FFFF0000"/>
      <name val="Arial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Roboto"/>
    </font>
    <font>
      <sz val="10"/>
      <name val="Roboto"/>
    </font>
    <font>
      <b/>
      <sz val="11"/>
      <name val="Roboto"/>
    </font>
    <font>
      <b/>
      <sz val="10"/>
      <name val="Roboto"/>
    </font>
    <font>
      <sz val="9"/>
      <color rgb="FF000000"/>
      <name val="Century Gothic"/>
      <family val="2"/>
    </font>
    <font>
      <b/>
      <sz val="10"/>
      <color theme="5"/>
      <name val="Roboto"/>
    </font>
    <font>
      <b/>
      <sz val="9"/>
      <color rgb="FF000000"/>
      <name val="Century Gothic"/>
      <family val="2"/>
    </font>
    <font>
      <sz val="10"/>
      <name val="Century Gothic"/>
      <family val="2"/>
    </font>
    <font>
      <sz val="8"/>
      <color rgb="FF000000"/>
      <name val="Century Gothic"/>
      <family val="2"/>
    </font>
    <font>
      <sz val="11"/>
      <name val="Roboto"/>
    </font>
    <font>
      <b/>
      <sz val="8"/>
      <color rgb="FF000000"/>
      <name val="Century Gothic"/>
      <family val="2"/>
    </font>
    <font>
      <sz val="9"/>
      <name val="Century Gothic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222222"/>
      <name val="Century Gothic"/>
      <family val="2"/>
    </font>
    <font>
      <b/>
      <sz val="10"/>
      <name val="Century Gothic"/>
      <family val="2"/>
    </font>
    <font>
      <sz val="9"/>
      <name val="Arial"/>
      <family val="2"/>
    </font>
    <font>
      <u/>
      <sz val="10"/>
      <name val="Century Gothic"/>
      <family val="2"/>
    </font>
    <font>
      <b/>
      <sz val="10"/>
      <name val="Arial"/>
      <family val="2"/>
      <scheme val="minor"/>
    </font>
    <font>
      <b/>
      <sz val="18"/>
      <name val="Verdana"/>
      <family val="2"/>
    </font>
    <font>
      <sz val="11"/>
      <color theme="4"/>
      <name val="Roboto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28"/>
      <color rgb="FF000000"/>
      <name val="Century Gothic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Roboto"/>
    </font>
    <font>
      <b/>
      <sz val="10"/>
      <color rgb="FFFF0000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Symbol"/>
      <family val="1"/>
      <charset val="2"/>
    </font>
    <font>
      <sz val="10"/>
      <color rgb="FF000000"/>
      <name val="Arial"/>
      <family val="2"/>
      <scheme val="minor"/>
    </font>
    <font>
      <b/>
      <sz val="8"/>
      <color rgb="FF444649"/>
      <name val="Arial"/>
      <family val="2"/>
    </font>
    <font>
      <sz val="8"/>
      <color rgb="FF444649"/>
      <name val="Arial"/>
      <family val="2"/>
    </font>
    <font>
      <sz val="10"/>
      <color theme="3"/>
      <name val="Century Gothic"/>
      <family val="2"/>
    </font>
    <font>
      <sz val="10"/>
      <name val="Calibri"/>
      <family val="2"/>
    </font>
    <font>
      <b/>
      <sz val="9"/>
      <name val="Century Gothic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i/>
      <sz val="9"/>
      <color rgb="FFFF0000"/>
      <name val="Century Gothic"/>
      <family val="2"/>
    </font>
    <font>
      <b/>
      <sz val="18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  <font>
      <b/>
      <sz val="11"/>
      <name val="Century Gothic"/>
      <family val="2"/>
    </font>
    <font>
      <u/>
      <sz val="11"/>
      <name val="Century Gothic"/>
      <family val="2"/>
    </font>
    <font>
      <b/>
      <sz val="10"/>
      <color rgb="FFFFFFFF"/>
      <name val="Century Gothic"/>
      <family val="2"/>
    </font>
    <font>
      <sz val="12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FF0000"/>
      <name val="Century Gothic"/>
      <family val="2"/>
    </font>
    <font>
      <b/>
      <sz val="11"/>
      <color rgb="FF000000"/>
      <name val="Aptos Narrow"/>
      <family val="2"/>
    </font>
    <font>
      <sz val="11"/>
      <color rgb="FF000000"/>
      <name val="Aptos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444649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  <scheme val="minor"/>
    </font>
    <font>
      <b/>
      <sz val="12"/>
      <color theme="1"/>
      <name val="Century Gothic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trike/>
      <sz val="10"/>
      <name val="Century Gothic"/>
      <family val="2"/>
    </font>
    <font>
      <sz val="10"/>
      <name val="Wingdings"/>
      <family val="1"/>
      <charset val="2"/>
    </font>
  </fonts>
  <fills count="3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rgb="FF9900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rgb="FF990000"/>
      </patternFill>
    </fill>
    <fill>
      <patternFill patternType="solid">
        <fgColor rgb="FFF7CAAC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4B083"/>
        <bgColor indexed="64"/>
      </patternFill>
    </fill>
    <fill>
      <patternFill patternType="solid">
        <fgColor rgb="FFF1960F"/>
        <bgColor indexed="64"/>
      </patternFill>
    </fill>
    <fill>
      <patternFill patternType="solid">
        <fgColor rgb="FFDAE9F8"/>
        <bgColor indexed="64"/>
      </patternFill>
    </fill>
    <fill>
      <patternFill patternType="solid">
        <fgColor rgb="FFF7C7AC"/>
        <bgColor indexed="64"/>
      </patternFill>
    </fill>
    <fill>
      <patternFill patternType="solid">
        <fgColor rgb="FF83E28E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866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0" fillId="0" borderId="17" xfId="0" applyFont="1" applyBorder="1" applyAlignment="1">
      <alignment horizontal="center" vertical="center" wrapText="1"/>
    </xf>
    <xf numFmtId="0" fontId="27" fillId="0" borderId="0" xfId="0" applyFont="1"/>
    <xf numFmtId="0" fontId="3" fillId="0" borderId="14" xfId="0" applyFont="1" applyBorder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/>
    <xf numFmtId="0" fontId="0" fillId="0" borderId="14" xfId="0" applyBorder="1"/>
    <xf numFmtId="9" fontId="20" fillId="0" borderId="0" xfId="0" applyNumberFormat="1" applyFont="1" applyAlignment="1">
      <alignment vertical="center" wrapText="1"/>
    </xf>
    <xf numFmtId="0" fontId="0" fillId="0" borderId="15" xfId="0" applyBorder="1"/>
    <xf numFmtId="0" fontId="3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10" fontId="20" fillId="0" borderId="0" xfId="0" applyNumberFormat="1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10" fontId="31" fillId="0" borderId="0" xfId="2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18" fillId="0" borderId="14" xfId="0" applyFont="1" applyBorder="1"/>
    <xf numFmtId="0" fontId="34" fillId="0" borderId="0" xfId="0" applyFont="1"/>
    <xf numFmtId="0" fontId="34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10" fontId="34" fillId="0" borderId="14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0" fontId="34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33" fillId="2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31" fillId="0" borderId="14" xfId="2" applyNumberFormat="1" applyFont="1" applyBorder="1" applyAlignment="1">
      <alignment vertical="center"/>
    </xf>
    <xf numFmtId="10" fontId="31" fillId="0" borderId="0" xfId="2" applyNumberFormat="1" applyFont="1" applyAlignment="1">
      <alignment vertic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10" fontId="31" fillId="0" borderId="14" xfId="2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9" fontId="37" fillId="0" borderId="14" xfId="0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10" fontId="37" fillId="0" borderId="14" xfId="2" applyNumberFormat="1" applyFont="1" applyBorder="1" applyAlignment="1">
      <alignment horizontal="center" vertical="center"/>
    </xf>
    <xf numFmtId="9" fontId="20" fillId="5" borderId="14" xfId="0" applyNumberFormat="1" applyFont="1" applyFill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0" fontId="37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3" fillId="11" borderId="10" xfId="0" applyFont="1" applyFill="1" applyBorder="1" applyAlignment="1">
      <alignment horizontal="left" vertical="center"/>
    </xf>
    <xf numFmtId="0" fontId="48" fillId="11" borderId="10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24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vertical="center"/>
    </xf>
    <xf numFmtId="1" fontId="0" fillId="0" borderId="14" xfId="2" applyNumberFormat="1" applyFont="1" applyBorder="1"/>
    <xf numFmtId="0" fontId="18" fillId="13" borderId="14" xfId="0" applyFont="1" applyFill="1" applyBorder="1"/>
    <xf numFmtId="0" fontId="0" fillId="13" borderId="14" xfId="0" applyFill="1" applyBorder="1"/>
    <xf numFmtId="0" fontId="34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51" fillId="11" borderId="13" xfId="0" applyFont="1" applyFill="1" applyBorder="1" applyAlignment="1">
      <alignment horizontal="center" vertical="center" wrapText="1"/>
    </xf>
    <xf numFmtId="0" fontId="51" fillId="11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51" fillId="11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4" fillId="5" borderId="14" xfId="0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9" fontId="20" fillId="0" borderId="14" xfId="0" applyNumberFormat="1" applyFont="1" applyBorder="1" applyAlignment="1">
      <alignment horizontal="center" vertical="center"/>
    </xf>
    <xf numFmtId="10" fontId="20" fillId="0" borderId="14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9" fontId="37" fillId="0" borderId="14" xfId="2" applyFont="1" applyBorder="1" applyAlignment="1">
      <alignment horizontal="center" vertical="center"/>
    </xf>
    <xf numFmtId="0" fontId="3" fillId="0" borderId="21" xfId="0" applyFont="1" applyBorder="1"/>
    <xf numFmtId="0" fontId="0" fillId="0" borderId="31" xfId="0" applyBorder="1"/>
    <xf numFmtId="0" fontId="20" fillId="5" borderId="14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wrapText="1"/>
    </xf>
    <xf numFmtId="2" fontId="38" fillId="5" borderId="14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20" fillId="0" borderId="24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3" xfId="0" applyBorder="1"/>
    <xf numFmtId="0" fontId="3" fillId="0" borderId="32" xfId="0" applyFont="1" applyBorder="1"/>
    <xf numFmtId="0" fontId="0" fillId="0" borderId="30" xfId="0" applyBorder="1"/>
    <xf numFmtId="0" fontId="33" fillId="2" borderId="14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vertical="center"/>
    </xf>
    <xf numFmtId="0" fontId="9" fillId="11" borderId="10" xfId="0" applyFont="1" applyFill="1" applyBorder="1" applyAlignment="1">
      <alignment horizontal="left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/>
    <xf numFmtId="0" fontId="3" fillId="0" borderId="24" xfId="0" applyFont="1" applyBorder="1"/>
    <xf numFmtId="9" fontId="20" fillId="0" borderId="24" xfId="0" applyNumberFormat="1" applyFont="1" applyBorder="1" applyAlignment="1">
      <alignment horizontal="center" vertical="center" wrapText="1"/>
    </xf>
    <xf numFmtId="0" fontId="0" fillId="0" borderId="34" xfId="0" applyBorder="1"/>
    <xf numFmtId="0" fontId="0" fillId="14" borderId="14" xfId="0" applyFill="1" applyBorder="1"/>
    <xf numFmtId="9" fontId="6" fillId="3" borderId="10" xfId="0" applyNumberFormat="1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21" xfId="0" applyBorder="1"/>
    <xf numFmtId="0" fontId="20" fillId="0" borderId="35" xfId="0" applyFont="1" applyBorder="1" applyAlignment="1">
      <alignment horizontal="center" vertical="center" wrapText="1"/>
    </xf>
    <xf numFmtId="9" fontId="3" fillId="0" borderId="14" xfId="0" applyNumberFormat="1" applyFont="1" applyBorder="1"/>
    <xf numFmtId="0" fontId="20" fillId="18" borderId="35" xfId="0" applyFont="1" applyFill="1" applyBorder="1" applyAlignment="1">
      <alignment horizontal="center" vertical="center" wrapText="1"/>
    </xf>
    <xf numFmtId="0" fontId="58" fillId="17" borderId="14" xfId="0" applyFont="1" applyFill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9" fontId="34" fillId="0" borderId="14" xfId="2" applyFont="1" applyBorder="1" applyAlignment="1">
      <alignment horizontal="center" vertical="center"/>
    </xf>
    <xf numFmtId="0" fontId="19" fillId="0" borderId="0" xfId="0" applyFont="1"/>
    <xf numFmtId="10" fontId="41" fillId="0" borderId="21" xfId="0" applyNumberFormat="1" applyFont="1" applyBorder="1" applyAlignment="1">
      <alignment horizontal="center" vertical="center" wrapText="1"/>
    </xf>
    <xf numFmtId="0" fontId="24" fillId="0" borderId="0" xfId="0" applyFont="1"/>
    <xf numFmtId="0" fontId="20" fillId="0" borderId="24" xfId="0" applyFont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left" vertical="center"/>
    </xf>
    <xf numFmtId="0" fontId="3" fillId="7" borderId="12" xfId="0" applyFont="1" applyFill="1" applyBorder="1"/>
    <xf numFmtId="0" fontId="3" fillId="7" borderId="11" xfId="0" applyFont="1" applyFill="1" applyBorder="1"/>
    <xf numFmtId="0" fontId="19" fillId="0" borderId="4" xfId="0" applyFont="1" applyBorder="1"/>
    <xf numFmtId="0" fontId="19" fillId="0" borderId="6" xfId="0" applyFont="1" applyBorder="1"/>
    <xf numFmtId="9" fontId="16" fillId="0" borderId="0" xfId="0" applyNumberFormat="1" applyFont="1"/>
    <xf numFmtId="9" fontId="3" fillId="0" borderId="14" xfId="0" applyNumberFormat="1" applyFont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4" xfId="0" applyFont="1" applyBorder="1"/>
    <xf numFmtId="0" fontId="12" fillId="0" borderId="6" xfId="0" applyFont="1" applyBorder="1"/>
    <xf numFmtId="2" fontId="16" fillId="6" borderId="14" xfId="0" applyNumberFormat="1" applyFont="1" applyFill="1" applyBorder="1" applyAlignment="1">
      <alignment horizontal="center"/>
    </xf>
    <xf numFmtId="0" fontId="13" fillId="0" borderId="14" xfId="0" applyFont="1" applyBorder="1"/>
    <xf numFmtId="0" fontId="36" fillId="21" borderId="18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9" fontId="34" fillId="0" borderId="47" xfId="0" applyNumberFormat="1" applyFont="1" applyBorder="1" applyAlignment="1">
      <alignment horizontal="center" vertical="center"/>
    </xf>
    <xf numFmtId="0" fontId="36" fillId="21" borderId="48" xfId="0" applyFont="1" applyFill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9" fontId="34" fillId="0" borderId="49" xfId="0" applyNumberFormat="1" applyFont="1" applyBorder="1" applyAlignment="1">
      <alignment horizontal="center" vertical="center"/>
    </xf>
    <xf numFmtId="0" fontId="36" fillId="21" borderId="14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3" fillId="0" borderId="4" xfId="0" applyFont="1" applyBorder="1"/>
    <xf numFmtId="0" fontId="33" fillId="11" borderId="6" xfId="0" applyFont="1" applyFill="1" applyBorder="1" applyAlignment="1">
      <alignment horizontal="left" vertical="center"/>
    </xf>
    <xf numFmtId="0" fontId="3" fillId="7" borderId="8" xfId="0" applyFont="1" applyFill="1" applyBorder="1"/>
    <xf numFmtId="0" fontId="33" fillId="0" borderId="0" xfId="0" applyFont="1" applyAlignment="1">
      <alignment horizontal="left" vertical="center"/>
    </xf>
    <xf numFmtId="9" fontId="16" fillId="6" borderId="14" xfId="0" applyNumberFormat="1" applyFont="1" applyFill="1" applyBorder="1"/>
    <xf numFmtId="0" fontId="37" fillId="0" borderId="14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top" wrapText="1"/>
    </xf>
    <xf numFmtId="0" fontId="10" fillId="21" borderId="14" xfId="0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7" borderId="14" xfId="0" applyFont="1" applyFill="1" applyBorder="1" applyAlignment="1">
      <alignment horizontal="center" vertical="center" wrapText="1"/>
    </xf>
    <xf numFmtId="10" fontId="3" fillId="7" borderId="14" xfId="0" applyNumberFormat="1" applyFont="1" applyFill="1" applyBorder="1"/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0" fontId="3" fillId="0" borderId="0" xfId="0" applyNumberFormat="1" applyFont="1"/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 vertical="center" wrapText="1"/>
    </xf>
    <xf numFmtId="9" fontId="41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2" fontId="37" fillId="0" borderId="14" xfId="2" applyNumberFormat="1" applyFont="1" applyBorder="1" applyAlignment="1">
      <alignment horizontal="center" vertical="center"/>
    </xf>
    <xf numFmtId="2" fontId="37" fillId="0" borderId="14" xfId="3" applyNumberFormat="1" applyFont="1" applyBorder="1" applyAlignment="1">
      <alignment horizontal="center" vertical="center"/>
    </xf>
    <xf numFmtId="9" fontId="37" fillId="24" borderId="14" xfId="0" applyNumberFormat="1" applyFont="1" applyFill="1" applyBorder="1" applyAlignment="1">
      <alignment horizontal="center" vertical="center"/>
    </xf>
    <xf numFmtId="9" fontId="63" fillId="5" borderId="14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11" borderId="12" xfId="0" applyFont="1" applyFill="1" applyBorder="1" applyAlignment="1">
      <alignment horizontal="left" vertical="center"/>
    </xf>
    <xf numFmtId="0" fontId="33" fillId="28" borderId="14" xfId="0" applyFont="1" applyFill="1" applyBorder="1" applyAlignment="1">
      <alignment vertical="center"/>
    </xf>
    <xf numFmtId="9" fontId="3" fillId="25" borderId="14" xfId="0" applyNumberFormat="1" applyFont="1" applyFill="1" applyBorder="1"/>
    <xf numFmtId="0" fontId="20" fillId="25" borderId="14" xfId="0" applyFont="1" applyFill="1" applyBorder="1" applyAlignment="1">
      <alignment horizontal="center" vertical="center" wrapText="1"/>
    </xf>
    <xf numFmtId="0" fontId="13" fillId="25" borderId="14" xfId="0" applyFont="1" applyFill="1" applyBorder="1"/>
    <xf numFmtId="0" fontId="20" fillId="0" borderId="21" xfId="0" applyFont="1" applyBorder="1" applyAlignment="1">
      <alignment horizontal="center" vertical="center"/>
    </xf>
    <xf numFmtId="0" fontId="33" fillId="29" borderId="14" xfId="0" applyFont="1" applyFill="1" applyBorder="1" applyAlignment="1">
      <alignment vertical="center"/>
    </xf>
    <xf numFmtId="9" fontId="3" fillId="7" borderId="14" xfId="0" applyNumberFormat="1" applyFont="1" applyFill="1" applyBorder="1"/>
    <xf numFmtId="10" fontId="34" fillId="0" borderId="43" xfId="0" applyNumberFormat="1" applyFont="1" applyBorder="1" applyAlignment="1">
      <alignment horizontal="center" vertical="center" wrapText="1"/>
    </xf>
    <xf numFmtId="0" fontId="34" fillId="26" borderId="35" xfId="0" applyFont="1" applyFill="1" applyBorder="1" applyAlignment="1">
      <alignment horizontal="center" vertical="center" wrapText="1"/>
    </xf>
    <xf numFmtId="10" fontId="45" fillId="25" borderId="14" xfId="0" applyNumberFormat="1" applyFont="1" applyFill="1" applyBorder="1" applyAlignment="1">
      <alignment horizontal="center" vertical="center" wrapText="1"/>
    </xf>
    <xf numFmtId="0" fontId="18" fillId="0" borderId="21" xfId="0" applyFont="1" applyBorder="1"/>
    <xf numFmtId="0" fontId="34" fillId="7" borderId="14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vertical="center"/>
    </xf>
    <xf numFmtId="0" fontId="33" fillId="29" borderId="14" xfId="0" applyFont="1" applyFill="1" applyBorder="1" applyAlignment="1">
      <alignment horizontal="left" vertical="center"/>
    </xf>
    <xf numFmtId="0" fontId="3" fillId="7" borderId="14" xfId="0" applyFont="1" applyFill="1" applyBorder="1"/>
    <xf numFmtId="0" fontId="37" fillId="0" borderId="2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/>
    </xf>
    <xf numFmtId="10" fontId="3" fillId="0" borderId="14" xfId="0" applyNumberFormat="1" applyFont="1" applyBorder="1"/>
    <xf numFmtId="0" fontId="34" fillId="31" borderId="14" xfId="0" applyFont="1" applyFill="1" applyBorder="1" applyAlignment="1">
      <alignment horizontal="center" vertical="center" wrapText="1"/>
    </xf>
    <xf numFmtId="10" fontId="41" fillId="0" borderId="14" xfId="0" applyNumberFormat="1" applyFont="1" applyBorder="1" applyAlignment="1">
      <alignment horizontal="center" vertical="center" wrapText="1"/>
    </xf>
    <xf numFmtId="10" fontId="65" fillId="0" borderId="14" xfId="0" applyNumberFormat="1" applyFont="1" applyBorder="1" applyAlignment="1">
      <alignment horizontal="center" vertical="center" wrapText="1"/>
    </xf>
    <xf numFmtId="10" fontId="67" fillId="0" borderId="14" xfId="0" applyNumberFormat="1" applyFont="1" applyBorder="1" applyAlignment="1">
      <alignment horizontal="center" vertical="center" wrapText="1"/>
    </xf>
    <xf numFmtId="9" fontId="41" fillId="0" borderId="14" xfId="0" applyNumberFormat="1" applyFont="1" applyBorder="1" applyAlignment="1">
      <alignment horizontal="center" vertical="center" wrapText="1"/>
    </xf>
    <xf numFmtId="10" fontId="41" fillId="0" borderId="24" xfId="0" applyNumberFormat="1" applyFont="1" applyBorder="1" applyAlignment="1">
      <alignment horizontal="center" vertical="center" wrapText="1"/>
    </xf>
    <xf numFmtId="10" fontId="65" fillId="0" borderId="24" xfId="0" applyNumberFormat="1" applyFont="1" applyBorder="1" applyAlignment="1">
      <alignment horizontal="center" vertical="center" wrapText="1"/>
    </xf>
    <xf numFmtId="10" fontId="65" fillId="0" borderId="21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8" fillId="0" borderId="19" xfId="0" applyFont="1" applyBorder="1"/>
    <xf numFmtId="0" fontId="3" fillId="25" borderId="14" xfId="0" applyFont="1" applyFill="1" applyBorder="1"/>
    <xf numFmtId="10" fontId="3" fillId="26" borderId="14" xfId="0" applyNumberFormat="1" applyFont="1" applyFill="1" applyBorder="1" applyAlignment="1">
      <alignment vertical="center"/>
    </xf>
    <xf numFmtId="2" fontId="16" fillId="12" borderId="14" xfId="0" applyNumberFormat="1" applyFont="1" applyFill="1" applyBorder="1" applyAlignment="1">
      <alignment vertical="center"/>
    </xf>
    <xf numFmtId="0" fontId="34" fillId="14" borderId="14" xfId="0" applyFont="1" applyFill="1" applyBorder="1" applyAlignment="1">
      <alignment vertical="center" wrapText="1"/>
    </xf>
    <xf numFmtId="10" fontId="34" fillId="14" borderId="14" xfId="0" applyNumberFormat="1" applyFont="1" applyFill="1" applyBorder="1" applyAlignment="1">
      <alignment vertical="center" wrapText="1"/>
    </xf>
    <xf numFmtId="10" fontId="16" fillId="12" borderId="14" xfId="0" applyNumberFormat="1" applyFont="1" applyFill="1" applyBorder="1" applyAlignment="1">
      <alignment vertical="center"/>
    </xf>
    <xf numFmtId="2" fontId="16" fillId="12" borderId="21" xfId="0" applyNumberFormat="1" applyFont="1" applyFill="1" applyBorder="1" applyAlignment="1">
      <alignment horizontal="center" vertical="center" wrapText="1"/>
    </xf>
    <xf numFmtId="0" fontId="0" fillId="14" borderId="0" xfId="0" applyFill="1"/>
    <xf numFmtId="2" fontId="16" fillId="32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9" fontId="45" fillId="0" borderId="14" xfId="0" applyNumberFormat="1" applyFont="1" applyBorder="1" applyAlignment="1">
      <alignment horizontal="center" vertical="center" wrapText="1"/>
    </xf>
    <xf numFmtId="9" fontId="45" fillId="24" borderId="14" xfId="0" applyNumberFormat="1" applyFont="1" applyFill="1" applyBorder="1" applyAlignment="1">
      <alignment horizontal="center" vertical="center" wrapText="1"/>
    </xf>
    <xf numFmtId="9" fontId="37" fillId="24" borderId="14" xfId="0" applyNumberFormat="1" applyFont="1" applyFill="1" applyBorder="1" applyAlignment="1">
      <alignment horizontal="center" vertical="center" wrapText="1"/>
    </xf>
    <xf numFmtId="9" fontId="20" fillId="24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Border="1"/>
    <xf numFmtId="0" fontId="34" fillId="33" borderId="1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10" fontId="37" fillId="0" borderId="14" xfId="0" applyNumberFormat="1" applyFont="1" applyBorder="1" applyAlignment="1">
      <alignment horizontal="center" vertical="center" wrapText="1"/>
    </xf>
    <xf numFmtId="0" fontId="0" fillId="9" borderId="0" xfId="0" applyFill="1"/>
    <xf numFmtId="0" fontId="36" fillId="0" borderId="16" xfId="0" applyFont="1" applyBorder="1" applyAlignment="1">
      <alignment horizontal="center" vertical="center" wrapText="1"/>
    </xf>
    <xf numFmtId="0" fontId="3" fillId="7" borderId="0" xfId="0" applyFont="1" applyFill="1"/>
    <xf numFmtId="10" fontId="20" fillId="7" borderId="14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/>
    </xf>
    <xf numFmtId="10" fontId="20" fillId="7" borderId="14" xfId="0" applyNumberFormat="1" applyFont="1" applyFill="1" applyBorder="1" applyAlignment="1">
      <alignment horizontal="center" vertical="center"/>
    </xf>
    <xf numFmtId="10" fontId="54" fillId="0" borderId="0" xfId="0" applyNumberFormat="1" applyFont="1"/>
    <xf numFmtId="10" fontId="25" fillId="0" borderId="0" xfId="0" applyNumberFormat="1" applyFont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0" fontId="31" fillId="0" borderId="19" xfId="2" applyNumberFormat="1" applyFont="1" applyBorder="1" applyAlignment="1">
      <alignment vertical="center"/>
    </xf>
    <xf numFmtId="9" fontId="41" fillId="0" borderId="14" xfId="2" applyFont="1" applyBorder="1" applyAlignment="1">
      <alignment horizontal="center" vertical="center"/>
    </xf>
    <xf numFmtId="9" fontId="65" fillId="0" borderId="14" xfId="2" applyFont="1" applyBorder="1" applyAlignment="1">
      <alignment horizontal="center" vertical="center"/>
    </xf>
    <xf numFmtId="0" fontId="41" fillId="0" borderId="14" xfId="2" applyNumberFormat="1" applyFont="1" applyBorder="1" applyAlignment="1">
      <alignment horizontal="center" vertical="center"/>
    </xf>
    <xf numFmtId="0" fontId="65" fillId="0" borderId="14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0" fontId="21" fillId="0" borderId="14" xfId="0" applyNumberFormat="1" applyFont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left" vertical="center"/>
    </xf>
    <xf numFmtId="0" fontId="34" fillId="0" borderId="14" xfId="0" applyFont="1" applyBorder="1" applyAlignment="1">
      <alignment wrapText="1"/>
    </xf>
    <xf numFmtId="9" fontId="20" fillId="34" borderId="14" xfId="0" applyNumberFormat="1" applyFont="1" applyFill="1" applyBorder="1" applyAlignment="1">
      <alignment horizontal="center" vertical="center"/>
    </xf>
    <xf numFmtId="0" fontId="37" fillId="0" borderId="14" xfId="0" applyFont="1" applyBorder="1"/>
    <xf numFmtId="0" fontId="33" fillId="11" borderId="1" xfId="0" applyFont="1" applyFill="1" applyBorder="1" applyAlignment="1">
      <alignment horizontal="left" vertical="center"/>
    </xf>
    <xf numFmtId="0" fontId="0" fillId="0" borderId="55" xfId="0" applyBorder="1"/>
    <xf numFmtId="0" fontId="20" fillId="0" borderId="0" xfId="0" applyFont="1"/>
    <xf numFmtId="0" fontId="37" fillId="0" borderId="11" xfId="0" applyFont="1" applyBorder="1"/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37" fillId="0" borderId="28" xfId="0" applyFont="1" applyBorder="1"/>
    <xf numFmtId="0" fontId="20" fillId="0" borderId="20" xfId="0" applyFont="1" applyBorder="1"/>
    <xf numFmtId="0" fontId="20" fillId="0" borderId="15" xfId="0" applyFont="1" applyBorder="1"/>
    <xf numFmtId="0" fontId="21" fillId="0" borderId="0" xfId="0" applyFont="1"/>
    <xf numFmtId="0" fontId="72" fillId="2" borderId="9" xfId="0" applyFont="1" applyFill="1" applyBorder="1" applyAlignment="1">
      <alignment horizontal="center" vertical="center" wrapText="1"/>
    </xf>
    <xf numFmtId="9" fontId="21" fillId="0" borderId="9" xfId="0" applyNumberFormat="1" applyFont="1" applyBorder="1" applyAlignment="1">
      <alignment horizontal="center" vertical="center"/>
    </xf>
    <xf numFmtId="10" fontId="21" fillId="0" borderId="9" xfId="0" applyNumberFormat="1" applyFont="1" applyBorder="1" applyAlignment="1">
      <alignment horizontal="center" vertical="center"/>
    </xf>
    <xf numFmtId="9" fontId="21" fillId="0" borderId="9" xfId="2" applyFont="1" applyBorder="1" applyAlignment="1">
      <alignment horizontal="center" vertical="center"/>
    </xf>
    <xf numFmtId="0" fontId="71" fillId="0" borderId="0" xfId="0" applyFont="1"/>
    <xf numFmtId="0" fontId="74" fillId="0" borderId="0" xfId="0" applyFont="1" applyAlignment="1">
      <alignment horizontal="center" vertical="center"/>
    </xf>
    <xf numFmtId="0" fontId="37" fillId="0" borderId="0" xfId="0" applyFont="1"/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7" fillId="2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2" applyNumberFormat="1" applyFont="1" applyBorder="1" applyAlignment="1">
      <alignment horizontal="center" vertical="center"/>
    </xf>
    <xf numFmtId="10" fontId="37" fillId="0" borderId="9" xfId="0" applyNumberFormat="1" applyFont="1" applyBorder="1" applyAlignment="1">
      <alignment horizontal="center" vertical="center"/>
    </xf>
    <xf numFmtId="9" fontId="37" fillId="0" borderId="9" xfId="2" applyFont="1" applyBorder="1" applyAlignment="1">
      <alignment horizontal="center" vertical="center"/>
    </xf>
    <xf numFmtId="0" fontId="78" fillId="0" borderId="0" xfId="0" applyFont="1" applyAlignment="1">
      <alignment horizontal="left" vertical="top"/>
    </xf>
    <xf numFmtId="0" fontId="7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38" xfId="0" applyFont="1" applyBorder="1"/>
    <xf numFmtId="1" fontId="37" fillId="0" borderId="14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11" fillId="0" borderId="14" xfId="0" applyFont="1" applyBorder="1" applyAlignment="1">
      <alignment horizontal="center"/>
    </xf>
    <xf numFmtId="10" fontId="3" fillId="7" borderId="14" xfId="0" applyNumberFormat="1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 vertical="center" wrapText="1"/>
    </xf>
    <xf numFmtId="0" fontId="36" fillId="8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40" fillId="7" borderId="19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vertical="center"/>
    </xf>
    <xf numFmtId="10" fontId="41" fillId="7" borderId="14" xfId="0" applyNumberFormat="1" applyFont="1" applyFill="1" applyBorder="1" applyAlignment="1">
      <alignment horizontal="center" vertical="center"/>
    </xf>
    <xf numFmtId="10" fontId="37" fillId="7" borderId="14" xfId="2" applyNumberFormat="1" applyFont="1" applyFill="1" applyBorder="1" applyAlignment="1">
      <alignment horizontal="center" vertical="center"/>
    </xf>
    <xf numFmtId="10" fontId="41" fillId="7" borderId="14" xfId="0" applyNumberFormat="1" applyFont="1" applyFill="1" applyBorder="1" applyAlignment="1">
      <alignment horizontal="center" vertical="center" wrapText="1"/>
    </xf>
    <xf numFmtId="9" fontId="41" fillId="7" borderId="14" xfId="0" applyNumberFormat="1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45" fillId="2" borderId="21" xfId="0" applyFont="1" applyFill="1" applyBorder="1" applyAlignment="1">
      <alignment vertical="center"/>
    </xf>
    <xf numFmtId="0" fontId="25" fillId="7" borderId="14" xfId="0" applyFont="1" applyFill="1" applyBorder="1" applyAlignment="1">
      <alignment horizontal="center" vertical="center"/>
    </xf>
    <xf numFmtId="8" fontId="34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22" fillId="0" borderId="14" xfId="1" applyFill="1" applyBorder="1" applyAlignment="1">
      <alignment horizontal="left" vertical="center" wrapText="1"/>
    </xf>
    <xf numFmtId="0" fontId="41" fillId="0" borderId="14" xfId="0" applyFont="1" applyBorder="1" applyAlignment="1">
      <alignment wrapText="1"/>
    </xf>
    <xf numFmtId="0" fontId="37" fillId="0" borderId="14" xfId="0" applyFont="1" applyBorder="1" applyAlignment="1">
      <alignment horizontal="left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0" fontId="37" fillId="0" borderId="14" xfId="1" applyFont="1" applyFill="1" applyBorder="1" applyAlignment="1">
      <alignment horizontal="left" vertical="center" wrapText="1"/>
    </xf>
    <xf numFmtId="0" fontId="47" fillId="0" borderId="14" xfId="1" applyFont="1" applyFill="1" applyBorder="1" applyAlignment="1">
      <alignment horizontal="left" vertical="center" wrapText="1"/>
    </xf>
    <xf numFmtId="0" fontId="24" fillId="0" borderId="31" xfId="0" applyFont="1" applyBorder="1"/>
    <xf numFmtId="6" fontId="34" fillId="0" borderId="35" xfId="0" applyNumberFormat="1" applyFont="1" applyBorder="1" applyAlignment="1">
      <alignment horizontal="center" vertical="center"/>
    </xf>
    <xf numFmtId="10" fontId="34" fillId="0" borderId="38" xfId="0" applyNumberFormat="1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9" fontId="80" fillId="0" borderId="14" xfId="0" applyNumberFormat="1" applyFont="1" applyBorder="1" applyAlignment="1">
      <alignment horizontal="center" vertical="center"/>
    </xf>
    <xf numFmtId="0" fontId="33" fillId="11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3" fillId="30" borderId="0" xfId="0" applyFont="1" applyFill="1" applyAlignment="1">
      <alignment horizontal="left" vertical="center"/>
    </xf>
    <xf numFmtId="0" fontId="3" fillId="9" borderId="0" xfId="0" applyFont="1" applyFill="1"/>
    <xf numFmtId="0" fontId="36" fillId="21" borderId="50" xfId="0" applyFont="1" applyFill="1" applyBorder="1" applyAlignment="1">
      <alignment horizontal="center" vertical="center" wrapText="1"/>
    </xf>
    <xf numFmtId="0" fontId="36" fillId="21" borderId="5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6" fillId="21" borderId="37" xfId="0" applyFont="1" applyFill="1" applyBorder="1" applyAlignment="1">
      <alignment horizontal="center" vertical="center" wrapText="1"/>
    </xf>
    <xf numFmtId="9" fontId="34" fillId="0" borderId="57" xfId="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/>
    </xf>
    <xf numFmtId="0" fontId="65" fillId="2" borderId="14" xfId="0" applyFont="1" applyFill="1" applyBorder="1" applyAlignment="1">
      <alignment horizontal="center" vertical="center" wrapText="1"/>
    </xf>
    <xf numFmtId="10" fontId="37" fillId="16" borderId="14" xfId="2" applyNumberFormat="1" applyFont="1" applyFill="1" applyBorder="1" applyAlignment="1">
      <alignment horizontal="center" vertical="center"/>
    </xf>
    <xf numFmtId="10" fontId="11" fillId="25" borderId="14" xfId="0" applyNumberFormat="1" applyFont="1" applyFill="1" applyBorder="1" applyAlignment="1">
      <alignment horizontal="center"/>
    </xf>
    <xf numFmtId="0" fontId="54" fillId="9" borderId="0" xfId="0" applyFont="1" applyFill="1"/>
    <xf numFmtId="0" fontId="15" fillId="9" borderId="0" xfId="0" applyFont="1" applyFill="1" applyAlignment="1">
      <alignment horizontal="left" vertical="top"/>
    </xf>
    <xf numFmtId="0" fontId="26" fillId="0" borderId="24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36" fillId="4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0" fontId="36" fillId="4" borderId="29" xfId="0" applyFont="1" applyFill="1" applyBorder="1" applyAlignment="1">
      <alignment horizontal="center" vertical="center" wrapText="1"/>
    </xf>
    <xf numFmtId="10" fontId="34" fillId="0" borderId="19" xfId="0" applyNumberFormat="1" applyFont="1" applyBorder="1" applyAlignment="1">
      <alignment horizontal="center" vertical="center" wrapText="1"/>
    </xf>
    <xf numFmtId="0" fontId="18" fillId="13" borderId="19" xfId="0" applyFont="1" applyFill="1" applyBorder="1"/>
    <xf numFmtId="0" fontId="0" fillId="13" borderId="19" xfId="0" applyFill="1" applyBorder="1"/>
    <xf numFmtId="10" fontId="16" fillId="12" borderId="19" xfId="0" applyNumberFormat="1" applyFont="1" applyFill="1" applyBorder="1" applyAlignment="1">
      <alignment vertical="center"/>
    </xf>
    <xf numFmtId="0" fontId="0" fillId="14" borderId="19" xfId="0" applyFill="1" applyBorder="1"/>
    <xf numFmtId="10" fontId="34" fillId="14" borderId="19" xfId="0" applyNumberFormat="1" applyFont="1" applyFill="1" applyBorder="1" applyAlignment="1">
      <alignment vertical="center" wrapText="1"/>
    </xf>
    <xf numFmtId="10" fontId="3" fillId="26" borderId="19" xfId="0" applyNumberFormat="1" applyFont="1" applyFill="1" applyBorder="1" applyAlignment="1">
      <alignment vertical="center"/>
    </xf>
    <xf numFmtId="0" fontId="34" fillId="0" borderId="5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22" fillId="0" borderId="14" xfId="1" applyFill="1" applyBorder="1" applyAlignment="1">
      <alignment vertical="center"/>
    </xf>
    <xf numFmtId="0" fontId="22" fillId="0" borderId="14" xfId="1" applyFill="1" applyBorder="1" applyAlignment="1">
      <alignment vertical="center" wrapText="1"/>
    </xf>
    <xf numFmtId="0" fontId="22" fillId="0" borderId="14" xfId="1" applyFill="1" applyBorder="1" applyAlignment="1">
      <alignment horizontal="left" vertical="center"/>
    </xf>
    <xf numFmtId="9" fontId="0" fillId="7" borderId="14" xfId="0" applyNumberFormat="1" applyFill="1" applyBorder="1" applyAlignment="1">
      <alignment horizontal="center"/>
    </xf>
    <xf numFmtId="10" fontId="0" fillId="7" borderId="14" xfId="0" applyNumberFormat="1" applyFill="1" applyBorder="1" applyAlignment="1">
      <alignment horizontal="center"/>
    </xf>
    <xf numFmtId="0" fontId="34" fillId="9" borderId="3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9" fontId="21" fillId="0" borderId="14" xfId="0" applyNumberFormat="1" applyFont="1" applyBorder="1" applyAlignment="1">
      <alignment horizontal="left" vertical="center"/>
    </xf>
    <xf numFmtId="9" fontId="34" fillId="26" borderId="14" xfId="0" applyNumberFormat="1" applyFont="1" applyFill="1" applyBorder="1" applyAlignment="1">
      <alignment horizontal="center" vertical="center" wrapText="1"/>
    </xf>
    <xf numFmtId="10" fontId="34" fillId="0" borderId="42" xfId="0" applyNumberFormat="1" applyFont="1" applyBorder="1" applyAlignment="1">
      <alignment horizontal="center" vertical="center" wrapText="1"/>
    </xf>
    <xf numFmtId="10" fontId="34" fillId="26" borderId="43" xfId="0" applyNumberFormat="1" applyFont="1" applyFill="1" applyBorder="1" applyAlignment="1">
      <alignment horizontal="center" vertical="center" wrapText="1"/>
    </xf>
    <xf numFmtId="10" fontId="34" fillId="0" borderId="44" xfId="0" applyNumberFormat="1" applyFont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center" vertical="center" wrapText="1"/>
    </xf>
    <xf numFmtId="0" fontId="34" fillId="22" borderId="17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4" fillId="0" borderId="18" xfId="0" applyFont="1" applyBorder="1" applyAlignment="1">
      <alignment horizontal="center" vertical="center" wrapText="1"/>
    </xf>
    <xf numFmtId="10" fontId="31" fillId="0" borderId="0" xfId="2" applyNumberFormat="1" applyFont="1" applyBorder="1" applyAlignment="1">
      <alignment vertical="center"/>
    </xf>
    <xf numFmtId="10" fontId="31" fillId="0" borderId="0" xfId="0" applyNumberFormat="1" applyFont="1" applyAlignment="1">
      <alignment vertical="center"/>
    </xf>
    <xf numFmtId="9" fontId="20" fillId="0" borderId="14" xfId="0" applyNumberFormat="1" applyFont="1" applyBorder="1" applyAlignment="1">
      <alignment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vertical="center"/>
    </xf>
    <xf numFmtId="9" fontId="21" fillId="0" borderId="14" xfId="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2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9" fontId="52" fillId="0" borderId="0" xfId="2" applyFont="1" applyBorder="1" applyAlignment="1">
      <alignment horizontal="left" vertical="center"/>
    </xf>
    <xf numFmtId="0" fontId="72" fillId="2" borderId="14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10" fontId="34" fillId="0" borderId="59" xfId="0" applyNumberFormat="1" applyFont="1" applyBorder="1" applyAlignment="1">
      <alignment horizontal="center" vertical="center" wrapText="1"/>
    </xf>
    <xf numFmtId="9" fontId="34" fillId="26" borderId="59" xfId="0" applyNumberFormat="1" applyFont="1" applyFill="1" applyBorder="1" applyAlignment="1">
      <alignment horizontal="center" vertical="center" wrapText="1"/>
    </xf>
    <xf numFmtId="9" fontId="34" fillId="0" borderId="59" xfId="0" applyNumberFormat="1" applyFont="1" applyBorder="1" applyAlignment="1">
      <alignment horizontal="center" vertical="center" wrapText="1"/>
    </xf>
    <xf numFmtId="10" fontId="34" fillId="0" borderId="47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34" fillId="0" borderId="14" xfId="0" applyFont="1" applyBorder="1"/>
    <xf numFmtId="0" fontId="37" fillId="18" borderId="14" xfId="0" applyFont="1" applyFill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 wrapText="1"/>
    </xf>
    <xf numFmtId="0" fontId="84" fillId="35" borderId="16" xfId="0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5" fillId="0" borderId="35" xfId="0" applyFont="1" applyBorder="1" applyAlignment="1">
      <alignment horizontal="center" vertical="center"/>
    </xf>
    <xf numFmtId="0" fontId="85" fillId="35" borderId="35" xfId="0" applyFont="1" applyFill="1" applyBorder="1" applyAlignment="1">
      <alignment horizontal="center" vertical="center"/>
    </xf>
    <xf numFmtId="0" fontId="84" fillId="35" borderId="35" xfId="0" applyFont="1" applyFill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 wrapText="1"/>
    </xf>
    <xf numFmtId="0" fontId="61" fillId="23" borderId="16" xfId="0" applyFont="1" applyFill="1" applyBorder="1" applyAlignment="1">
      <alignment horizontal="center" vertical="center" wrapText="1"/>
    </xf>
    <xf numFmtId="0" fontId="61" fillId="23" borderId="17" xfId="0" applyFont="1" applyFill="1" applyBorder="1" applyAlignment="1">
      <alignment horizontal="center" vertical="center" wrapText="1"/>
    </xf>
    <xf numFmtId="0" fontId="61" fillId="23" borderId="35" xfId="0" applyFont="1" applyFill="1" applyBorder="1" applyAlignment="1">
      <alignment horizontal="center" vertical="center" wrapText="1"/>
    </xf>
    <xf numFmtId="0" fontId="61" fillId="23" borderId="35" xfId="0" applyFont="1" applyFill="1" applyBorder="1" applyAlignment="1">
      <alignment vertical="center"/>
    </xf>
    <xf numFmtId="0" fontId="62" fillId="5" borderId="17" xfId="0" applyFont="1" applyFill="1" applyBorder="1" applyAlignment="1">
      <alignment vertical="center" wrapText="1"/>
    </xf>
    <xf numFmtId="0" fontId="62" fillId="5" borderId="35" xfId="0" applyFont="1" applyFill="1" applyBorder="1" applyAlignment="1">
      <alignment horizontal="right" vertical="center"/>
    </xf>
    <xf numFmtId="0" fontId="61" fillId="23" borderId="35" xfId="0" applyFont="1" applyFill="1" applyBorder="1" applyAlignment="1">
      <alignment horizontal="right" vertical="center"/>
    </xf>
    <xf numFmtId="0" fontId="61" fillId="23" borderId="17" xfId="0" applyFont="1" applyFill="1" applyBorder="1" applyAlignment="1">
      <alignment vertical="center"/>
    </xf>
    <xf numFmtId="0" fontId="86" fillId="0" borderId="35" xfId="0" applyFont="1" applyBorder="1" applyAlignment="1">
      <alignment vertical="center"/>
    </xf>
    <xf numFmtId="3" fontId="61" fillId="23" borderId="35" xfId="0" applyNumberFormat="1" applyFont="1" applyFill="1" applyBorder="1" applyAlignment="1">
      <alignment horizontal="right" vertical="center"/>
    </xf>
    <xf numFmtId="0" fontId="62" fillId="5" borderId="53" xfId="0" applyFont="1" applyFill="1" applyBorder="1" applyAlignment="1">
      <alignment vertical="center" wrapText="1"/>
    </xf>
    <xf numFmtId="0" fontId="62" fillId="5" borderId="14" xfId="0" applyFont="1" applyFill="1" applyBorder="1" applyAlignment="1">
      <alignment vertical="center" wrapText="1"/>
    </xf>
    <xf numFmtId="0" fontId="87" fillId="18" borderId="35" xfId="0" applyFont="1" applyFill="1" applyBorder="1" applyAlignment="1">
      <alignment horizontal="right" vertical="center"/>
    </xf>
    <xf numFmtId="0" fontId="87" fillId="18" borderId="35" xfId="0" applyFont="1" applyFill="1" applyBorder="1" applyAlignment="1">
      <alignment vertical="center"/>
    </xf>
    <xf numFmtId="0" fontId="61" fillId="23" borderId="50" xfId="0" applyFont="1" applyFill="1" applyBorder="1" applyAlignment="1">
      <alignment vertical="center" wrapText="1"/>
    </xf>
    <xf numFmtId="0" fontId="87" fillId="18" borderId="38" xfId="0" applyFont="1" applyFill="1" applyBorder="1" applyAlignment="1">
      <alignment horizontal="right" vertical="center"/>
    </xf>
    <xf numFmtId="0" fontId="62" fillId="5" borderId="0" xfId="0" applyFont="1" applyFill="1" applyAlignment="1">
      <alignment vertical="center" wrapText="1"/>
    </xf>
    <xf numFmtId="9" fontId="18" fillId="0" borderId="14" xfId="0" applyNumberFormat="1" applyFont="1" applyBorder="1" applyAlignment="1">
      <alignment horizontal="center"/>
    </xf>
    <xf numFmtId="0" fontId="86" fillId="0" borderId="14" xfId="0" applyFont="1" applyBorder="1" applyAlignment="1">
      <alignment horizontal="center" vertical="center"/>
    </xf>
    <xf numFmtId="9" fontId="34" fillId="0" borderId="35" xfId="0" applyNumberFormat="1" applyFont="1" applyBorder="1" applyAlignment="1">
      <alignment horizontal="center" vertical="center" wrapText="1"/>
    </xf>
    <xf numFmtId="10" fontId="34" fillId="0" borderId="35" xfId="0" applyNumberFormat="1" applyFont="1" applyBorder="1" applyAlignment="1">
      <alignment horizontal="center" vertical="center" wrapText="1"/>
    </xf>
    <xf numFmtId="9" fontId="34" fillId="0" borderId="38" xfId="0" applyNumberFormat="1" applyFont="1" applyBorder="1" applyAlignment="1">
      <alignment horizontal="center" vertical="center" wrapText="1"/>
    </xf>
    <xf numFmtId="10" fontId="34" fillId="0" borderId="14" xfId="0" applyNumberFormat="1" applyFont="1" applyBorder="1" applyAlignment="1">
      <alignment vertical="center" wrapText="1"/>
    </xf>
    <xf numFmtId="0" fontId="88" fillId="23" borderId="35" xfId="0" applyFont="1" applyFill="1" applyBorder="1" applyAlignment="1">
      <alignment horizontal="right" vertical="center" wrapText="1"/>
    </xf>
    <xf numFmtId="0" fontId="88" fillId="23" borderId="35" xfId="0" applyFont="1" applyFill="1" applyBorder="1" applyAlignment="1">
      <alignment horizontal="center" vertical="center" wrapText="1"/>
    </xf>
    <xf numFmtId="10" fontId="89" fillId="26" borderId="35" xfId="0" applyNumberFormat="1" applyFont="1" applyFill="1" applyBorder="1" applyAlignment="1">
      <alignment horizontal="right" vertical="center"/>
    </xf>
    <xf numFmtId="0" fontId="62" fillId="5" borderId="35" xfId="0" applyFont="1" applyFill="1" applyBorder="1" applyAlignment="1">
      <alignment vertical="center" wrapText="1"/>
    </xf>
    <xf numFmtId="10" fontId="86" fillId="26" borderId="35" xfId="0" applyNumberFormat="1" applyFont="1" applyFill="1" applyBorder="1" applyAlignment="1">
      <alignment horizontal="right" vertical="center"/>
    </xf>
    <xf numFmtId="10" fontId="86" fillId="0" borderId="35" xfId="0" applyNumberFormat="1" applyFont="1" applyBorder="1" applyAlignment="1">
      <alignment horizontal="right" vertical="center"/>
    </xf>
    <xf numFmtId="10" fontId="86" fillId="36" borderId="35" xfId="0" applyNumberFormat="1" applyFont="1" applyFill="1" applyBorder="1" applyAlignment="1">
      <alignment horizontal="right" vertical="center"/>
    </xf>
    <xf numFmtId="10" fontId="89" fillId="0" borderId="35" xfId="0" applyNumberFormat="1" applyFont="1" applyBorder="1" applyAlignment="1">
      <alignment horizontal="right" vertical="center"/>
    </xf>
    <xf numFmtId="10" fontId="89" fillId="36" borderId="35" xfId="0" applyNumberFormat="1" applyFont="1" applyFill="1" applyBorder="1" applyAlignment="1">
      <alignment horizontal="right" vertical="center"/>
    </xf>
    <xf numFmtId="10" fontId="89" fillId="37" borderId="35" xfId="0" applyNumberFormat="1" applyFont="1" applyFill="1" applyBorder="1" applyAlignment="1">
      <alignment horizontal="right" vertical="center"/>
    </xf>
    <xf numFmtId="10" fontId="34" fillId="0" borderId="16" xfId="0" applyNumberFormat="1" applyFont="1" applyBorder="1" applyAlignment="1">
      <alignment horizontal="center" vertical="center"/>
    </xf>
    <xf numFmtId="10" fontId="34" fillId="0" borderId="17" xfId="0" applyNumberFormat="1" applyFont="1" applyBorder="1" applyAlignment="1">
      <alignment horizontal="center" vertical="center"/>
    </xf>
    <xf numFmtId="10" fontId="34" fillId="26" borderId="17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2" fontId="3" fillId="0" borderId="14" xfId="0" applyNumberFormat="1" applyFont="1" applyBorder="1"/>
    <xf numFmtId="0" fontId="20" fillId="0" borderId="66" xfId="0" applyFont="1" applyBorder="1" applyAlignment="1">
      <alignment horizontal="center" vertical="center" wrapText="1"/>
    </xf>
    <xf numFmtId="10" fontId="34" fillId="0" borderId="16" xfId="0" applyNumberFormat="1" applyFont="1" applyBorder="1" applyAlignment="1">
      <alignment horizontal="center" vertical="center" wrapText="1"/>
    </xf>
    <xf numFmtId="10" fontId="34" fillId="0" borderId="17" xfId="0" applyNumberFormat="1" applyFont="1" applyBorder="1" applyAlignment="1">
      <alignment horizontal="center" vertical="center" wrapText="1"/>
    </xf>
    <xf numFmtId="10" fontId="20" fillId="0" borderId="19" xfId="0" applyNumberFormat="1" applyFont="1" applyBorder="1" applyAlignment="1">
      <alignment horizontal="center" vertical="center" wrapText="1"/>
    </xf>
    <xf numFmtId="10" fontId="34" fillId="0" borderId="53" xfId="0" applyNumberFormat="1" applyFont="1" applyBorder="1" applyAlignment="1">
      <alignment horizontal="center" vertical="center" wrapText="1"/>
    </xf>
    <xf numFmtId="10" fontId="34" fillId="0" borderId="24" xfId="0" applyNumberFormat="1" applyFont="1" applyBorder="1" applyAlignment="1">
      <alignment vertical="center" wrapText="1"/>
    </xf>
    <xf numFmtId="9" fontId="34" fillId="0" borderId="14" xfId="0" applyNumberFormat="1" applyFont="1" applyBorder="1" applyAlignment="1">
      <alignment vertical="center" wrapText="1"/>
    </xf>
    <xf numFmtId="0" fontId="34" fillId="5" borderId="35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10" fontId="41" fillId="34" borderId="14" xfId="0" applyNumberFormat="1" applyFont="1" applyFill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1" fillId="0" borderId="14" xfId="2" applyFont="1" applyBorder="1" applyAlignment="1">
      <alignment horizontal="center" vertical="center"/>
    </xf>
    <xf numFmtId="9" fontId="37" fillId="16" borderId="14" xfId="0" applyNumberFormat="1" applyFont="1" applyFill="1" applyBorder="1" applyAlignment="1">
      <alignment horizontal="center" vertical="center"/>
    </xf>
    <xf numFmtId="9" fontId="37" fillId="16" borderId="14" xfId="2" applyFont="1" applyFill="1" applyBorder="1" applyAlignment="1">
      <alignment horizontal="center" vertical="center"/>
    </xf>
    <xf numFmtId="9" fontId="31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9" fontId="20" fillId="24" borderId="14" xfId="0" applyNumberFormat="1" applyFont="1" applyFill="1" applyBorder="1" applyAlignment="1">
      <alignment horizontal="center" vertical="center"/>
    </xf>
    <xf numFmtId="10" fontId="34" fillId="0" borderId="14" xfId="2" applyNumberFormat="1" applyFont="1" applyBorder="1" applyAlignment="1">
      <alignment horizontal="center" vertical="center" wrapText="1"/>
    </xf>
    <xf numFmtId="0" fontId="34" fillId="9" borderId="14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9" fontId="20" fillId="0" borderId="38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66" fontId="34" fillId="0" borderId="14" xfId="2" applyNumberFormat="1" applyFont="1" applyBorder="1" applyAlignment="1">
      <alignment horizontal="center" vertical="center" wrapText="1"/>
    </xf>
    <xf numFmtId="9" fontId="34" fillId="0" borderId="38" xfId="0" applyNumberFormat="1" applyFont="1" applyBorder="1" applyAlignment="1">
      <alignment horizontal="center" vertical="center"/>
    </xf>
    <xf numFmtId="9" fontId="31" fillId="0" borderId="14" xfId="2" applyFont="1" applyBorder="1" applyAlignment="1">
      <alignment vertical="center"/>
    </xf>
    <xf numFmtId="0" fontId="37" fillId="0" borderId="14" xfId="0" applyFont="1" applyBorder="1" applyAlignment="1">
      <alignment horizontal="justify" vertical="center" wrapText="1"/>
    </xf>
    <xf numFmtId="0" fontId="77" fillId="25" borderId="14" xfId="0" applyFont="1" applyFill="1" applyBorder="1" applyAlignment="1">
      <alignment horizontal="center" vertical="center"/>
    </xf>
    <xf numFmtId="0" fontId="36" fillId="23" borderId="16" xfId="0" applyFont="1" applyFill="1" applyBorder="1" applyAlignment="1">
      <alignment horizontal="center" vertical="center" wrapText="1"/>
    </xf>
    <xf numFmtId="0" fontId="36" fillId="23" borderId="17" xfId="0" applyFont="1" applyFill="1" applyBorder="1" applyAlignment="1">
      <alignment horizontal="center" vertical="center" wrapText="1"/>
    </xf>
    <xf numFmtId="0" fontId="36" fillId="23" borderId="35" xfId="0" applyFont="1" applyFill="1" applyBorder="1" applyAlignment="1">
      <alignment horizontal="center" vertical="center" wrapText="1"/>
    </xf>
    <xf numFmtId="0" fontId="36" fillId="23" borderId="35" xfId="0" applyFont="1" applyFill="1" applyBorder="1" applyAlignment="1">
      <alignment vertical="center"/>
    </xf>
    <xf numFmtId="0" fontId="34" fillId="0" borderId="35" xfId="0" applyFont="1" applyBorder="1" applyAlignment="1">
      <alignment horizontal="right" vertical="center"/>
    </xf>
    <xf numFmtId="0" fontId="34" fillId="0" borderId="17" xfId="0" applyFont="1" applyBorder="1" applyAlignment="1">
      <alignment vertical="center"/>
    </xf>
    <xf numFmtId="0" fontId="34" fillId="18" borderId="35" xfId="0" applyFont="1" applyFill="1" applyBorder="1" applyAlignment="1">
      <alignment horizontal="right" vertical="center"/>
    </xf>
    <xf numFmtId="0" fontId="34" fillId="0" borderId="35" xfId="0" applyFont="1" applyBorder="1" applyAlignment="1">
      <alignment vertical="center"/>
    </xf>
    <xf numFmtId="9" fontId="34" fillId="0" borderId="35" xfId="0" applyNumberFormat="1" applyFont="1" applyBorder="1" applyAlignment="1">
      <alignment horizontal="right" vertical="center"/>
    </xf>
    <xf numFmtId="0" fontId="36" fillId="23" borderId="39" xfId="0" applyFont="1" applyFill="1" applyBorder="1" applyAlignment="1">
      <alignment horizontal="center" vertical="center" wrapText="1"/>
    </xf>
    <xf numFmtId="9" fontId="41" fillId="0" borderId="35" xfId="0" applyNumberFormat="1" applyFont="1" applyBorder="1" applyAlignment="1">
      <alignment horizontal="right" vertical="center"/>
    </xf>
    <xf numFmtId="0" fontId="41" fillId="0" borderId="35" xfId="0" applyFont="1" applyBorder="1" applyAlignment="1">
      <alignment vertical="center"/>
    </xf>
    <xf numFmtId="0" fontId="90" fillId="38" borderId="21" xfId="0" applyFont="1" applyFill="1" applyBorder="1"/>
    <xf numFmtId="0" fontId="90" fillId="38" borderId="16" xfId="0" applyFont="1" applyFill="1" applyBorder="1"/>
    <xf numFmtId="0" fontId="0" fillId="0" borderId="14" xfId="2" applyNumberFormat="1" applyFont="1" applyBorder="1"/>
    <xf numFmtId="10" fontId="34" fillId="0" borderId="0" xfId="0" applyNumberFormat="1" applyFont="1" applyAlignment="1">
      <alignment horizontal="center"/>
    </xf>
    <xf numFmtId="9" fontId="34" fillId="0" borderId="53" xfId="0" applyNumberFormat="1" applyFont="1" applyBorder="1" applyAlignment="1">
      <alignment horizontal="center" vertical="center" wrapText="1"/>
    </xf>
    <xf numFmtId="0" fontId="10" fillId="21" borderId="19" xfId="0" applyFont="1" applyFill="1" applyBorder="1" applyAlignment="1">
      <alignment vertical="center" wrapText="1"/>
    </xf>
    <xf numFmtId="9" fontId="20" fillId="0" borderId="70" xfId="0" applyNumberFormat="1" applyFont="1" applyBorder="1" applyAlignment="1">
      <alignment horizontal="center" vertical="center" wrapText="1"/>
    </xf>
    <xf numFmtId="9" fontId="20" fillId="0" borderId="71" xfId="0" applyNumberFormat="1" applyFont="1" applyBorder="1" applyAlignment="1">
      <alignment horizontal="center" vertical="center" wrapText="1"/>
    </xf>
    <xf numFmtId="9" fontId="34" fillId="0" borderId="72" xfId="0" applyNumberFormat="1" applyFont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/>
    </xf>
    <xf numFmtId="9" fontId="37" fillId="5" borderId="1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wrapText="1" shrinkToFit="1"/>
    </xf>
    <xf numFmtId="0" fontId="41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92" fillId="0" borderId="14" xfId="0" applyFont="1" applyBorder="1" applyAlignment="1">
      <alignment horizontal="left" vertical="center"/>
    </xf>
    <xf numFmtId="0" fontId="92" fillId="0" borderId="14" xfId="0" applyFont="1" applyBorder="1" applyAlignment="1">
      <alignment horizontal="justify" vertical="center"/>
    </xf>
    <xf numFmtId="0" fontId="95" fillId="0" borderId="14" xfId="0" applyFont="1" applyBorder="1" applyAlignment="1">
      <alignment horizontal="justify" vertical="center"/>
    </xf>
    <xf numFmtId="0" fontId="91" fillId="7" borderId="14" xfId="0" applyFont="1" applyFill="1" applyBorder="1" applyAlignment="1">
      <alignment horizontal="center" wrapText="1"/>
    </xf>
    <xf numFmtId="0" fontId="22" fillId="0" borderId="14" xfId="1" applyFill="1" applyBorder="1" applyAlignment="1">
      <alignment wrapText="1"/>
    </xf>
    <xf numFmtId="0" fontId="41" fillId="26" borderId="17" xfId="0" applyFont="1" applyFill="1" applyBorder="1" applyAlignment="1">
      <alignment horizontal="center" vertical="center" wrapText="1"/>
    </xf>
    <xf numFmtId="0" fontId="18" fillId="9" borderId="14" xfId="0" applyFont="1" applyFill="1" applyBorder="1"/>
    <xf numFmtId="0" fontId="36" fillId="23" borderId="39" xfId="0" applyFont="1" applyFill="1" applyBorder="1" applyAlignment="1">
      <alignment vertical="center"/>
    </xf>
    <xf numFmtId="0" fontId="34" fillId="0" borderId="39" xfId="0" applyFont="1" applyBorder="1" applyAlignment="1">
      <alignment horizontal="right" vertical="center"/>
    </xf>
    <xf numFmtId="0" fontId="18" fillId="9" borderId="24" xfId="0" applyFont="1" applyFill="1" applyBorder="1"/>
    <xf numFmtId="0" fontId="34" fillId="18" borderId="14" xfId="0" applyFont="1" applyFill="1" applyBorder="1" applyAlignment="1">
      <alignment horizontal="right" vertical="center"/>
    </xf>
    <xf numFmtId="0" fontId="0" fillId="9" borderId="14" xfId="0" applyFill="1" applyBorder="1"/>
    <xf numFmtId="0" fontId="69" fillId="0" borderId="10" xfId="0" applyFont="1" applyBorder="1" applyAlignment="1">
      <alignment horizontal="center" vertical="center"/>
    </xf>
    <xf numFmtId="0" fontId="37" fillId="0" borderId="11" xfId="0" applyFont="1" applyBorder="1"/>
    <xf numFmtId="0" fontId="37" fillId="0" borderId="12" xfId="0" applyFont="1" applyBorder="1"/>
    <xf numFmtId="0" fontId="70" fillId="0" borderId="10" xfId="0" applyFont="1" applyBorder="1" applyAlignment="1">
      <alignment horizontal="center" vertical="center"/>
    </xf>
    <xf numFmtId="0" fontId="45" fillId="11" borderId="10" xfId="0" applyFont="1" applyFill="1" applyBorder="1" applyAlignment="1">
      <alignment horizontal="left" vertical="center"/>
    </xf>
    <xf numFmtId="0" fontId="37" fillId="7" borderId="12" xfId="0" applyFont="1" applyFill="1" applyBorder="1"/>
    <xf numFmtId="0" fontId="20" fillId="3" borderId="10" xfId="0" applyFont="1" applyFill="1" applyBorder="1" applyAlignment="1">
      <alignment vertical="center" wrapText="1"/>
    </xf>
    <xf numFmtId="9" fontId="37" fillId="3" borderId="10" xfId="0" applyNumberFormat="1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/>
    </xf>
    <xf numFmtId="0" fontId="45" fillId="11" borderId="10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3" xfId="0" applyFont="1" applyBorder="1"/>
    <xf numFmtId="0" fontId="21" fillId="0" borderId="2" xfId="0" applyFont="1" applyBorder="1"/>
    <xf numFmtId="0" fontId="37" fillId="7" borderId="11" xfId="0" applyFont="1" applyFill="1" applyBorder="1"/>
    <xf numFmtId="0" fontId="37" fillId="0" borderId="8" xfId="0" applyFont="1" applyBorder="1"/>
    <xf numFmtId="0" fontId="37" fillId="0" borderId="7" xfId="0" applyFont="1" applyBorder="1"/>
    <xf numFmtId="0" fontId="26" fillId="0" borderId="1" xfId="0" applyFont="1" applyBorder="1" applyAlignment="1">
      <alignment horizontal="left" vertical="top" wrapText="1"/>
    </xf>
    <xf numFmtId="0" fontId="19" fillId="0" borderId="3" xfId="0" applyFont="1" applyBorder="1"/>
    <xf numFmtId="0" fontId="19" fillId="0" borderId="2" xfId="0" applyFont="1" applyBorder="1"/>
    <xf numFmtId="0" fontId="19" fillId="0" borderId="4" xfId="0" applyFont="1" applyBorder="1"/>
    <xf numFmtId="0" fontId="27" fillId="0" borderId="0" xfId="0" applyFont="1"/>
    <xf numFmtId="0" fontId="19" fillId="0" borderId="5" xfId="0" applyFont="1" applyBorder="1"/>
    <xf numFmtId="0" fontId="19" fillId="0" borderId="6" xfId="0" applyFont="1" applyBorder="1"/>
    <xf numFmtId="0" fontId="19" fillId="0" borderId="8" xfId="0" applyFont="1" applyBorder="1"/>
    <xf numFmtId="0" fontId="19" fillId="0" borderId="7" xfId="0" applyFont="1" applyBorder="1"/>
    <xf numFmtId="0" fontId="17" fillId="0" borderId="0" xfId="0" applyFont="1" applyAlignment="1">
      <alignment horizontal="right" vertical="center"/>
    </xf>
    <xf numFmtId="0" fontId="0" fillId="0" borderId="0" xfId="0"/>
    <xf numFmtId="0" fontId="25" fillId="2" borderId="10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/>
    </xf>
    <xf numFmtId="0" fontId="33" fillId="11" borderId="10" xfId="0" applyFont="1" applyFill="1" applyBorder="1" applyAlignment="1">
      <alignment horizontal="left" vertical="center"/>
    </xf>
    <xf numFmtId="0" fontId="3" fillId="7" borderId="11" xfId="0" applyFont="1" applyFill="1" applyBorder="1"/>
    <xf numFmtId="0" fontId="3" fillId="7" borderId="12" xfId="0" applyFont="1" applyFill="1" applyBorder="1"/>
    <xf numFmtId="0" fontId="21" fillId="3" borderId="10" xfId="0" applyFont="1" applyFill="1" applyBorder="1" applyAlignment="1">
      <alignment vertical="center" wrapText="1"/>
    </xf>
    <xf numFmtId="0" fontId="21" fillId="0" borderId="11" xfId="0" applyFont="1" applyBorder="1"/>
    <xf numFmtId="0" fontId="21" fillId="0" borderId="12" xfId="0" applyFont="1" applyBorder="1"/>
    <xf numFmtId="9" fontId="20" fillId="3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76" fillId="0" borderId="10" xfId="0" applyFont="1" applyBorder="1" applyAlignment="1">
      <alignment horizontal="center" vertical="center"/>
    </xf>
    <xf numFmtId="0" fontId="37" fillId="3" borderId="10" xfId="0" applyFont="1" applyFill="1" applyBorder="1" applyAlignment="1">
      <alignment vertical="center" wrapText="1"/>
    </xf>
    <xf numFmtId="0" fontId="37" fillId="3" borderId="12" xfId="0" applyFont="1" applyFill="1" applyBorder="1" applyAlignment="1">
      <alignment vertical="center" wrapText="1"/>
    </xf>
    <xf numFmtId="0" fontId="75" fillId="0" borderId="1" xfId="0" applyFont="1" applyBorder="1" applyAlignment="1">
      <alignment horizontal="left" vertical="top" wrapText="1"/>
    </xf>
    <xf numFmtId="0" fontId="37" fillId="0" borderId="3" xfId="0" applyFont="1" applyBorder="1"/>
    <xf numFmtId="0" fontId="37" fillId="0" borderId="2" xfId="0" applyFont="1" applyBorder="1"/>
    <xf numFmtId="0" fontId="37" fillId="0" borderId="4" xfId="0" applyFont="1" applyBorder="1"/>
    <xf numFmtId="0" fontId="37" fillId="0" borderId="0" xfId="0" applyFont="1"/>
    <xf numFmtId="0" fontId="37" fillId="0" borderId="5" xfId="0" applyFont="1" applyBorder="1"/>
    <xf numFmtId="0" fontId="37" fillId="0" borderId="6" xfId="0" applyFont="1" applyBorder="1"/>
    <xf numFmtId="0" fontId="45" fillId="2" borderId="10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36" fillId="21" borderId="45" xfId="0" applyFont="1" applyFill="1" applyBorder="1" applyAlignment="1">
      <alignment horizontal="left" vertical="center" wrapText="1"/>
    </xf>
    <xf numFmtId="0" fontId="36" fillId="21" borderId="46" xfId="0" applyFont="1" applyFill="1" applyBorder="1" applyAlignment="1">
      <alignment horizontal="left" vertical="center" wrapText="1"/>
    </xf>
    <xf numFmtId="9" fontId="37" fillId="3" borderId="10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45" fillId="2" borderId="19" xfId="0" applyFont="1" applyFill="1" applyBorder="1" applyAlignment="1">
      <alignment vertical="center"/>
    </xf>
    <xf numFmtId="0" fontId="45" fillId="2" borderId="15" xfId="0" applyFont="1" applyFill="1" applyBorder="1" applyAlignment="1">
      <alignment vertical="center"/>
    </xf>
    <xf numFmtId="0" fontId="37" fillId="2" borderId="19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3" fillId="11" borderId="4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45" fillId="2" borderId="14" xfId="0" applyFont="1" applyFill="1" applyBorder="1" applyAlignment="1">
      <alignment vertical="center"/>
    </xf>
    <xf numFmtId="0" fontId="37" fillId="0" borderId="14" xfId="0" applyFont="1" applyBorder="1"/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9" fillId="0" borderId="1" xfId="0" applyFont="1" applyBorder="1" applyAlignment="1">
      <alignment horizontal="left"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24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34" fillId="0" borderId="19" xfId="0" applyFont="1" applyBorder="1" applyAlignment="1">
      <alignment horizontal="center" vertical="center" wrapText="1"/>
    </xf>
    <xf numFmtId="0" fontId="45" fillId="11" borderId="19" xfId="0" applyFont="1" applyFill="1" applyBorder="1" applyAlignment="1">
      <alignment horizontal="left" vertical="center"/>
    </xf>
    <xf numFmtId="0" fontId="37" fillId="7" borderId="20" xfId="0" applyFont="1" applyFill="1" applyBorder="1"/>
    <xf numFmtId="0" fontId="45" fillId="27" borderId="14" xfId="0" applyFont="1" applyFill="1" applyBorder="1" applyAlignment="1">
      <alignment horizontal="left" vertical="center"/>
    </xf>
    <xf numFmtId="0" fontId="37" fillId="16" borderId="14" xfId="0" applyFont="1" applyFill="1" applyBorder="1"/>
    <xf numFmtId="0" fontId="34" fillId="0" borderId="1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20" fillId="3" borderId="14" xfId="0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left" vertical="center"/>
    </xf>
    <xf numFmtId="0" fontId="37" fillId="7" borderId="3" xfId="0" applyFont="1" applyFill="1" applyBorder="1"/>
    <xf numFmtId="0" fontId="73" fillId="11" borderId="10" xfId="0" applyFont="1" applyFill="1" applyBorder="1" applyAlignment="1">
      <alignment horizontal="left" vertical="center" wrapText="1"/>
    </xf>
    <xf numFmtId="0" fontId="21" fillId="7" borderId="11" xfId="0" applyFont="1" applyFill="1" applyBorder="1"/>
    <xf numFmtId="0" fontId="33" fillId="2" borderId="14" xfId="0" applyFont="1" applyFill="1" applyBorder="1" applyAlignment="1">
      <alignment horizontal="left" vertical="center"/>
    </xf>
    <xf numFmtId="0" fontId="3" fillId="0" borderId="19" xfId="0" applyFont="1" applyBorder="1"/>
    <xf numFmtId="9" fontId="16" fillId="6" borderId="14" xfId="0" applyNumberFormat="1" applyFont="1" applyFill="1" applyBorder="1" applyAlignment="1">
      <alignment horizontal="center"/>
    </xf>
    <xf numFmtId="9" fontId="16" fillId="6" borderId="19" xfId="0" applyNumberFormat="1" applyFont="1" applyFill="1" applyBorder="1" applyAlignment="1">
      <alignment horizontal="center"/>
    </xf>
    <xf numFmtId="0" fontId="34" fillId="7" borderId="14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top" wrapText="1"/>
    </xf>
    <xf numFmtId="0" fontId="19" fillId="0" borderId="0" xfId="0" applyFont="1"/>
    <xf numFmtId="0" fontId="6" fillId="3" borderId="10" xfId="0" applyFont="1" applyFill="1" applyBorder="1" applyAlignment="1">
      <alignment vertical="center" wrapText="1"/>
    </xf>
    <xf numFmtId="0" fontId="3" fillId="0" borderId="11" xfId="0" applyFont="1" applyBorder="1"/>
    <xf numFmtId="0" fontId="11" fillId="3" borderId="10" xfId="0" applyFont="1" applyFill="1" applyBorder="1" applyAlignment="1">
      <alignment vertical="center" wrapText="1"/>
    </xf>
    <xf numFmtId="0" fontId="12" fillId="0" borderId="12" xfId="0" applyFont="1" applyBorder="1"/>
    <xf numFmtId="0" fontId="9" fillId="11" borderId="10" xfId="0" applyFont="1" applyFill="1" applyBorder="1" applyAlignment="1">
      <alignment horizontal="left" vertical="center" wrapText="1"/>
    </xf>
    <xf numFmtId="0" fontId="12" fillId="7" borderId="12" xfId="0" applyFont="1" applyFill="1" applyBorder="1"/>
    <xf numFmtId="0" fontId="11" fillId="3" borderId="1" xfId="0" applyFont="1" applyFill="1" applyBorder="1" applyAlignment="1">
      <alignment vertical="center" wrapText="1"/>
    </xf>
    <xf numFmtId="0" fontId="12" fillId="0" borderId="3" xfId="0" applyFont="1" applyBorder="1"/>
    <xf numFmtId="0" fontId="12" fillId="0" borderId="2" xfId="0" applyFont="1" applyBorder="1"/>
    <xf numFmtId="0" fontId="3" fillId="0" borderId="12" xfId="0" applyFont="1" applyBorder="1"/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left" vertical="center" wrapText="1"/>
    </xf>
    <xf numFmtId="0" fontId="25" fillId="7" borderId="15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7" fillId="7" borderId="11" xfId="0" applyFont="1" applyFill="1" applyBorder="1" applyAlignment="1">
      <alignment horizontal="left" vertical="center"/>
    </xf>
    <xf numFmtId="0" fontId="37" fillId="7" borderId="12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9" fontId="6" fillId="3" borderId="10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48" fillId="11" borderId="10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vertical="center" wrapText="1"/>
    </xf>
    <xf numFmtId="0" fontId="12" fillId="0" borderId="14" xfId="0" applyFont="1" applyBorder="1"/>
    <xf numFmtId="0" fontId="6" fillId="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2" fillId="0" borderId="4" xfId="0" applyFont="1" applyBorder="1"/>
    <xf numFmtId="0" fontId="55" fillId="0" borderId="0" xfId="0" applyFont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7" xfId="0" applyFont="1" applyBorder="1"/>
    <xf numFmtId="9" fontId="44" fillId="6" borderId="14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vertical="center"/>
    </xf>
    <xf numFmtId="0" fontId="45" fillId="0" borderId="14" xfId="0" applyFont="1" applyBorder="1" applyAlignment="1">
      <alignment horizontal="left"/>
    </xf>
    <xf numFmtId="0" fontId="6" fillId="3" borderId="14" xfId="0" applyFont="1" applyFill="1" applyBorder="1" applyAlignment="1">
      <alignment vertical="center" wrapText="1"/>
    </xf>
    <xf numFmtId="0" fontId="3" fillId="0" borderId="14" xfId="0" applyFont="1" applyBorder="1"/>
    <xf numFmtId="9" fontId="6" fillId="3" borderId="10" xfId="0" applyNumberFormat="1" applyFont="1" applyFill="1" applyBorder="1" applyAlignment="1">
      <alignment vertical="center" wrapText="1"/>
    </xf>
    <xf numFmtId="0" fontId="12" fillId="0" borderId="24" xfId="0" applyFont="1" applyBorder="1"/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top" wrapText="1"/>
    </xf>
    <xf numFmtId="0" fontId="11" fillId="3" borderId="25" xfId="0" applyFont="1" applyFill="1" applyBorder="1" applyAlignment="1">
      <alignment vertical="center" wrapText="1"/>
    </xf>
    <xf numFmtId="0" fontId="12" fillId="0" borderId="26" xfId="0" applyFont="1" applyBorder="1"/>
    <xf numFmtId="0" fontId="12" fillId="0" borderId="27" xfId="0" applyFont="1" applyBorder="1"/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3" fillId="0" borderId="0" xfId="0" applyFont="1"/>
    <xf numFmtId="0" fontId="12" fillId="0" borderId="11" xfId="0" applyFont="1" applyBorder="1"/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wrapText="1"/>
    </xf>
    <xf numFmtId="0" fontId="56" fillId="16" borderId="14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center"/>
    </xf>
    <xf numFmtId="0" fontId="26" fillId="9" borderId="0" xfId="0" applyFont="1" applyFill="1" applyAlignment="1">
      <alignment horizontal="left" vertical="top" wrapText="1"/>
    </xf>
    <xf numFmtId="0" fontId="20" fillId="0" borderId="1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wrapText="1"/>
    </xf>
    <xf numFmtId="0" fontId="31" fillId="3" borderId="10" xfId="0" applyFont="1" applyFill="1" applyBorder="1" applyAlignment="1">
      <alignment vertical="center" wrapText="1"/>
    </xf>
    <xf numFmtId="0" fontId="36" fillId="21" borderId="14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3" fillId="30" borderId="10" xfId="0" applyFont="1" applyFill="1" applyBorder="1" applyAlignment="1">
      <alignment horizontal="left" vertical="center"/>
    </xf>
    <xf numFmtId="0" fontId="3" fillId="9" borderId="11" xfId="0" applyFont="1" applyFill="1" applyBorder="1"/>
    <xf numFmtId="0" fontId="3" fillId="9" borderId="12" xfId="0" applyFont="1" applyFill="1" applyBorder="1"/>
    <xf numFmtId="0" fontId="33" fillId="11" borderId="1" xfId="0" applyFont="1" applyFill="1" applyBorder="1" applyAlignment="1">
      <alignment horizontal="left" vertical="center"/>
    </xf>
    <xf numFmtId="0" fontId="3" fillId="7" borderId="3" xfId="0" applyFont="1" applyFill="1" applyBorder="1"/>
    <xf numFmtId="0" fontId="20" fillId="0" borderId="5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6" fillId="3" borderId="10" xfId="0" applyFont="1" applyFill="1" applyBorder="1" applyAlignment="1">
      <alignment horizontal="left" vertical="top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10" fillId="21" borderId="37" xfId="0" applyFont="1" applyFill="1" applyBorder="1" applyAlignment="1">
      <alignment vertical="center" wrapText="1"/>
    </xf>
    <xf numFmtId="0" fontId="10" fillId="21" borderId="5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8" borderId="14" xfId="0" applyFont="1" applyFill="1" applyBorder="1" applyAlignment="1">
      <alignment horizontal="center" vertical="center" wrapText="1"/>
    </xf>
    <xf numFmtId="10" fontId="44" fillId="6" borderId="22" xfId="0" applyNumberFormat="1" applyFont="1" applyFill="1" applyBorder="1" applyAlignment="1">
      <alignment horizontal="center"/>
    </xf>
    <xf numFmtId="10" fontId="44" fillId="6" borderId="23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9" fontId="33" fillId="2" borderId="14" xfId="0" applyNumberFormat="1" applyFont="1" applyFill="1" applyBorder="1" applyAlignment="1">
      <alignment horizontal="left" vertical="center"/>
    </xf>
    <xf numFmtId="2" fontId="44" fillId="6" borderId="14" xfId="0" applyNumberFormat="1" applyFont="1" applyFill="1" applyBorder="1" applyAlignment="1">
      <alignment horizontal="center"/>
    </xf>
    <xf numFmtId="0" fontId="39" fillId="0" borderId="6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textRotation="90" wrapText="1"/>
    </xf>
    <xf numFmtId="0" fontId="18" fillId="19" borderId="14" xfId="0" applyFont="1" applyFill="1" applyBorder="1" applyAlignment="1">
      <alignment horizontal="center" vertical="center" textRotation="90"/>
    </xf>
    <xf numFmtId="0" fontId="0" fillId="19" borderId="14" xfId="0" applyFill="1" applyBorder="1" applyAlignment="1">
      <alignment horizontal="center" vertical="center" textRotation="90"/>
    </xf>
    <xf numFmtId="0" fontId="18" fillId="15" borderId="14" xfId="0" applyFont="1" applyFill="1" applyBorder="1" applyAlignment="1">
      <alignment horizontal="center" vertical="center" textRotation="90"/>
    </xf>
    <xf numFmtId="0" fontId="0" fillId="15" borderId="14" xfId="0" applyFill="1" applyBorder="1" applyAlignment="1">
      <alignment horizontal="center" vertical="center" textRotation="90"/>
    </xf>
    <xf numFmtId="2" fontId="16" fillId="6" borderId="14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84" fillId="35" borderId="50" xfId="0" applyFont="1" applyFill="1" applyBorder="1" applyAlignment="1">
      <alignment horizontal="center" vertical="center"/>
    </xf>
    <xf numFmtId="0" fontId="84" fillId="35" borderId="18" xfId="0" applyFont="1" applyFill="1" applyBorder="1" applyAlignment="1">
      <alignment horizontal="center" vertical="center"/>
    </xf>
    <xf numFmtId="9" fontId="85" fillId="0" borderId="37" xfId="0" applyNumberFormat="1" applyFont="1" applyBorder="1" applyAlignment="1">
      <alignment horizontal="center" vertical="center"/>
    </xf>
    <xf numFmtId="9" fontId="85" fillId="0" borderId="62" xfId="0" applyNumberFormat="1" applyFont="1" applyBorder="1" applyAlignment="1">
      <alignment horizontal="center" vertical="center"/>
    </xf>
    <xf numFmtId="9" fontId="85" fillId="0" borderId="60" xfId="0" applyNumberFormat="1" applyFont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 wrapText="1"/>
    </xf>
    <xf numFmtId="0" fontId="61" fillId="23" borderId="50" xfId="0" applyFont="1" applyFill="1" applyBorder="1" applyAlignment="1">
      <alignment horizontal="center" vertical="center" wrapText="1"/>
    </xf>
    <xf numFmtId="0" fontId="61" fillId="23" borderId="61" xfId="0" applyFont="1" applyFill="1" applyBorder="1" applyAlignment="1">
      <alignment horizontal="center" vertical="center" wrapText="1"/>
    </xf>
    <xf numFmtId="0" fontId="61" fillId="23" borderId="18" xfId="0" applyFont="1" applyFill="1" applyBorder="1" applyAlignment="1">
      <alignment horizontal="center" vertical="center" wrapText="1"/>
    </xf>
    <xf numFmtId="9" fontId="86" fillId="0" borderId="63" xfId="0" applyNumberFormat="1" applyFont="1" applyBorder="1" applyAlignment="1">
      <alignment horizontal="center" vertical="center"/>
    </xf>
    <xf numFmtId="9" fontId="86" fillId="0" borderId="65" xfId="0" applyNumberFormat="1" applyFont="1" applyBorder="1" applyAlignment="1">
      <alignment horizontal="center" vertical="center"/>
    </xf>
    <xf numFmtId="9" fontId="86" fillId="0" borderId="64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6" fillId="23" borderId="50" xfId="0" applyFont="1" applyFill="1" applyBorder="1" applyAlignment="1">
      <alignment horizontal="center" vertical="center" wrapText="1"/>
    </xf>
    <xf numFmtId="0" fontId="36" fillId="23" borderId="61" xfId="0" applyFont="1" applyFill="1" applyBorder="1" applyAlignment="1">
      <alignment horizontal="center" vertical="center" wrapText="1"/>
    </xf>
    <xf numFmtId="0" fontId="36" fillId="23" borderId="18" xfId="0" applyFont="1" applyFill="1" applyBorder="1" applyAlignment="1">
      <alignment horizontal="center" vertical="center" wrapText="1"/>
    </xf>
    <xf numFmtId="10" fontId="16" fillId="6" borderId="14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3" borderId="1" xfId="0" applyFont="1" applyFill="1" applyBorder="1" applyAlignment="1">
      <alignment vertical="center" wrapText="1"/>
    </xf>
    <xf numFmtId="0" fontId="33" fillId="30" borderId="0" xfId="0" applyFont="1" applyFill="1" applyAlignment="1">
      <alignment horizontal="left" vertical="center"/>
    </xf>
    <xf numFmtId="0" fontId="3" fillId="9" borderId="0" xfId="0" applyFont="1" applyFill="1"/>
    <xf numFmtId="0" fontId="31" fillId="3" borderId="25" xfId="0" applyFont="1" applyFill="1" applyBorder="1" applyAlignment="1">
      <alignment vertical="center" wrapText="1"/>
    </xf>
    <xf numFmtId="0" fontId="3" fillId="0" borderId="27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8" fillId="11" borderId="11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/>
    </xf>
    <xf numFmtId="0" fontId="87" fillId="4" borderId="50" xfId="0" applyFont="1" applyFill="1" applyBorder="1" applyAlignment="1">
      <alignment horizontal="center" vertical="center"/>
    </xf>
    <xf numFmtId="0" fontId="87" fillId="4" borderId="61" xfId="0" applyFont="1" applyFill="1" applyBorder="1" applyAlignment="1">
      <alignment horizontal="center" vertical="center"/>
    </xf>
    <xf numFmtId="0" fontId="87" fillId="4" borderId="51" xfId="0" applyFont="1" applyFill="1" applyBorder="1" applyAlignment="1">
      <alignment horizontal="center" vertical="center"/>
    </xf>
    <xf numFmtId="0" fontId="88" fillId="23" borderId="56" xfId="0" applyFont="1" applyFill="1" applyBorder="1" applyAlignment="1">
      <alignment horizontal="right" vertical="center" wrapText="1"/>
    </xf>
    <xf numFmtId="0" fontId="88" fillId="23" borderId="17" xfId="0" applyFont="1" applyFill="1" applyBorder="1" applyAlignment="1">
      <alignment horizontal="right" vertical="center" wrapText="1"/>
    </xf>
    <xf numFmtId="0" fontId="88" fillId="23" borderId="56" xfId="0" applyFont="1" applyFill="1" applyBorder="1" applyAlignment="1">
      <alignment horizontal="center" vertical="center" wrapText="1"/>
    </xf>
    <xf numFmtId="0" fontId="88" fillId="23" borderId="67" xfId="0" applyFont="1" applyFill="1" applyBorder="1" applyAlignment="1">
      <alignment horizontal="center" vertical="center" wrapText="1"/>
    </xf>
    <xf numFmtId="0" fontId="88" fillId="4" borderId="50" xfId="0" applyFont="1" applyFill="1" applyBorder="1" applyAlignment="1">
      <alignment horizontal="center" vertical="center" wrapText="1"/>
    </xf>
    <xf numFmtId="0" fontId="88" fillId="4" borderId="61" xfId="0" applyFont="1" applyFill="1" applyBorder="1" applyAlignment="1">
      <alignment horizontal="center" vertical="center" wrapText="1"/>
    </xf>
    <xf numFmtId="0" fontId="88" fillId="4" borderId="18" xfId="0" applyFont="1" applyFill="1" applyBorder="1" applyAlignment="1">
      <alignment horizontal="center" vertical="center" wrapText="1"/>
    </xf>
    <xf numFmtId="0" fontId="87" fillId="4" borderId="18" xfId="0" applyFont="1" applyFill="1" applyBorder="1" applyAlignment="1">
      <alignment horizontal="center" vertical="center"/>
    </xf>
    <xf numFmtId="0" fontId="62" fillId="5" borderId="56" xfId="0" applyFont="1" applyFill="1" applyBorder="1" applyAlignment="1">
      <alignment vertical="center" wrapText="1"/>
    </xf>
    <xf numFmtId="0" fontId="62" fillId="5" borderId="53" xfId="0" applyFont="1" applyFill="1" applyBorder="1" applyAlignment="1">
      <alignment vertical="center" wrapText="1"/>
    </xf>
    <xf numFmtId="0" fontId="62" fillId="5" borderId="67" xfId="0" applyFont="1" applyFill="1" applyBorder="1" applyAlignment="1">
      <alignment vertical="center" wrapText="1"/>
    </xf>
    <xf numFmtId="0" fontId="62" fillId="5" borderId="68" xfId="0" applyFont="1" applyFill="1" applyBorder="1" applyAlignment="1">
      <alignment vertical="center" wrapText="1"/>
    </xf>
    <xf numFmtId="0" fontId="62" fillId="5" borderId="17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top" wrapText="1"/>
    </xf>
    <xf numFmtId="0" fontId="3" fillId="0" borderId="26" xfId="0" applyFont="1" applyBorder="1"/>
    <xf numFmtId="0" fontId="20" fillId="0" borderId="14" xfId="0" applyFont="1" applyBorder="1" applyAlignment="1">
      <alignment horizontal="center" wrapText="1"/>
    </xf>
    <xf numFmtId="10" fontId="6" fillId="3" borderId="10" xfId="0" applyNumberFormat="1" applyFont="1" applyFill="1" applyBorder="1" applyAlignment="1">
      <alignment vertical="center" wrapText="1"/>
    </xf>
    <xf numFmtId="10" fontId="3" fillId="0" borderId="12" xfId="0" applyNumberFormat="1" applyFont="1" applyBorder="1"/>
    <xf numFmtId="10" fontId="31" fillId="3" borderId="10" xfId="0" applyNumberFormat="1" applyFont="1" applyFill="1" applyBorder="1" applyAlignment="1">
      <alignment vertical="center" wrapText="1"/>
    </xf>
    <xf numFmtId="2" fontId="16" fillId="6" borderId="2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4" fillId="7" borderId="11" xfId="0" applyFont="1" applyFill="1" applyBorder="1"/>
    <xf numFmtId="0" fontId="54" fillId="7" borderId="12" xfId="0" applyFont="1" applyFill="1" applyBorder="1"/>
    <xf numFmtId="0" fontId="33" fillId="0" borderId="0" xfId="0" applyFont="1" applyAlignment="1">
      <alignment horizontal="left" vertical="center"/>
    </xf>
    <xf numFmtId="0" fontId="34" fillId="0" borderId="14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165" fontId="34" fillId="7" borderId="14" xfId="0" applyNumberFormat="1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33" fillId="11" borderId="14" xfId="0" applyFont="1" applyFill="1" applyBorder="1" applyAlignment="1">
      <alignment horizontal="left" vertical="center"/>
    </xf>
    <xf numFmtId="0" fontId="48" fillId="11" borderId="14" xfId="0" applyFont="1" applyFill="1" applyBorder="1" applyAlignment="1">
      <alignment horizontal="left" vertical="center" wrapText="1"/>
    </xf>
    <xf numFmtId="0" fontId="31" fillId="3" borderId="14" xfId="0" applyFont="1" applyFill="1" applyBorder="1" applyAlignment="1">
      <alignment vertical="center" wrapText="1"/>
    </xf>
    <xf numFmtId="0" fontId="31" fillId="3" borderId="24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vertical="center"/>
    </xf>
    <xf numFmtId="2" fontId="16" fillId="12" borderId="24" xfId="0" applyNumberFormat="1" applyFont="1" applyFill="1" applyBorder="1" applyAlignment="1">
      <alignment horizontal="center" vertical="center"/>
    </xf>
    <xf numFmtId="2" fontId="16" fillId="12" borderId="21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46" fillId="0" borderId="14" xfId="0" applyFont="1" applyBorder="1" applyAlignment="1">
      <alignment vertical="center" wrapText="1"/>
    </xf>
  </cellXfs>
  <cellStyles count="4">
    <cellStyle name="Coma" xfId="3" builtinId="3"/>
    <cellStyle name="Enllaç" xfId="1" builtinId="8"/>
    <cellStyle name="Normal" xfId="0" builtinId="0"/>
    <cellStyle name="Percentatge" xfId="2" builtinId="5"/>
  </cellStyles>
  <dxfs count="58"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1960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66FF33"/>
      <color rgb="FFFF3300"/>
      <color rgb="FFF1960F"/>
      <color rgb="FF9900CC"/>
      <color rgb="FF660066"/>
      <color rgb="FF333399"/>
      <color rgb="FFFF7C80"/>
      <color rgb="FFCC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'PE1.01_Ind01 '!$B$12</c:f>
              <c:strCache>
                <c:ptCount val="1"/>
                <c:pt idx="0">
                  <c:v>Valor real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'PE1.01_Ind01 '!$C$11:$I$11</c:f>
              <c:strCache>
                <c:ptCount val="7"/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</c:strCache>
            </c:strRef>
          </c:cat>
          <c:val>
            <c:numRef>
              <c:f>'PE1.01_Ind01 '!$D$12:$I$12</c:f>
              <c:numCache>
                <c:formatCode>0%</c:formatCode>
                <c:ptCount val="6"/>
                <c:pt idx="0">
                  <c:v>0.44</c:v>
                </c:pt>
                <c:pt idx="1">
                  <c:v>0.57999999999999996</c:v>
                </c:pt>
                <c:pt idx="2">
                  <c:v>0.53</c:v>
                </c:pt>
                <c:pt idx="3">
                  <c:v>0.32</c:v>
                </c:pt>
                <c:pt idx="4">
                  <c:v>0.88260000000000005</c:v>
                </c:pt>
                <c:pt idx="5">
                  <c:v>0.81310000000000004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0-44B0-BD7F-CCA1DA244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lineChart>
        <c:grouping val="standard"/>
        <c:varyColors val="0"/>
        <c:ser>
          <c:idx val="1"/>
          <c:order val="1"/>
          <c:tx>
            <c:strRef>
              <c:f>'PE1.01_Ind01 '!$B$13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190-44B0-BD7F-CCA1DA244E72}"/>
              </c:ext>
            </c:extLst>
          </c:dPt>
          <c:cat>
            <c:strRef>
              <c:f>'PE1.01_Ind01 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'PE1.01_Ind01 '!$D$13:$I$13</c:f>
              <c:numCache>
                <c:formatCode>0%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0-44B0-BD7F-CCA1DA244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23127"/>
        <c:axId val="517237689"/>
      </c:lineChart>
      <c:catAx>
        <c:axId val="1151423127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1423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>
                <a:effectLst/>
              </a:rPr>
              <a:t>PE1.03_Ind03. Taxa de graduació per curs acadèmic i titulació(per cohort, N+1, Màsters) 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'PE1.03_Ind03'!$B$12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'PE1.03_Ind03'!$D$12:$F$12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C-4F94-BD02-221C2B9C4E6F}"/>
            </c:ext>
          </c:extLst>
        </c:ser>
        <c:ser>
          <c:idx val="1"/>
          <c:order val="1"/>
          <c:tx>
            <c:strRef>
              <c:f>'PE1.03_Ind03'!$B$13:$C$13</c:f>
              <c:strCache>
                <c:ptCount val="2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'PE1.03_Ind03'!$D$13:$F$13</c:f>
              <c:numCache>
                <c:formatCode>0%</c:formatCode>
                <c:ptCount val="3"/>
                <c:pt idx="0">
                  <c:v>0.94340000000000002</c:v>
                </c:pt>
                <c:pt idx="1">
                  <c:v>0.91</c:v>
                </c:pt>
                <c:pt idx="2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C-4F94-BD02-221C2B9C4E6F}"/>
            </c:ext>
          </c:extLst>
        </c:ser>
        <c:ser>
          <c:idx val="2"/>
          <c:order val="2"/>
          <c:tx>
            <c:strRef>
              <c:f>'PE1.03_Ind03'!$B$14:$C$14</c:f>
              <c:strCache>
                <c:ptCount val="2"/>
                <c:pt idx="0">
                  <c:v>Física d'Altes Energies, Astrofísica i Cosmologiada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'PE1.03_Ind03'!$D$14:$F$14</c:f>
              <c:numCache>
                <c:formatCode>0%</c:formatCode>
                <c:ptCount val="3"/>
                <c:pt idx="0" formatCode="0.00%">
                  <c:v>0.82350000000000001</c:v>
                </c:pt>
                <c:pt idx="1">
                  <c:v>0.83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C-4F94-BD02-221C2B9C4E6F}"/>
            </c:ext>
          </c:extLst>
        </c:ser>
        <c:ser>
          <c:idx val="3"/>
          <c:order val="3"/>
          <c:tx>
            <c:strRef>
              <c:f>'PE1.03_Ind03'!$B$15:$C$15</c:f>
              <c:strCache>
                <c:ptCount val="2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'PE1.03_Ind03'!$D$15:$F$15</c:f>
              <c:numCache>
                <c:formatCode>0%</c:formatCode>
                <c:ptCount val="3"/>
                <c:pt idx="0">
                  <c:v>0.93</c:v>
                </c:pt>
                <c:pt idx="1">
                  <c:v>1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9C-4F94-BD02-221C2B9C4E6F}"/>
            </c:ext>
          </c:extLst>
        </c:ser>
        <c:ser>
          <c:idx val="4"/>
          <c:order val="4"/>
          <c:tx>
            <c:strRef>
              <c:f>'PE1.03_Ind03'!$B$16:$C$16</c:f>
              <c:strCache>
                <c:ptCount val="2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'PE1.03_Ind03'!$D$16:$F$16</c:f>
              <c:numCache>
                <c:formatCode>0%</c:formatCode>
                <c:ptCount val="3"/>
                <c:pt idx="0">
                  <c:v>0.89</c:v>
                </c:pt>
                <c:pt idx="1">
                  <c:v>0.92</c:v>
                </c:pt>
                <c:pt idx="2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9C-4F94-BD02-221C2B9C4E6F}"/>
            </c:ext>
          </c:extLst>
        </c:ser>
        <c:ser>
          <c:idx val="5"/>
          <c:order val="5"/>
          <c:tx>
            <c:strRef>
              <c:f>'PE1.03_Ind03'!$B$17:$C$17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'PE1.03_Ind03'!$D$17:$F$17</c:f>
              <c:numCache>
                <c:formatCode>0%</c:formatCode>
                <c:ptCount val="3"/>
                <c:pt idx="0">
                  <c:v>0.91</c:v>
                </c:pt>
                <c:pt idx="1">
                  <c:v>0.9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9C-4F94-BD02-221C2B9C4E6F}"/>
            </c:ext>
          </c:extLst>
        </c:ser>
        <c:ser>
          <c:idx val="6"/>
          <c:order val="6"/>
          <c:tx>
            <c:strRef>
              <c:f>'PE1.03_Ind03'!$B$18:$C$18</c:f>
              <c:strCache>
                <c:ptCount val="2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'PE1.03_Ind03'!$D$18:$F$18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9C-4F94-BD02-221C2B9C4E6F}"/>
            </c:ext>
          </c:extLst>
        </c:ser>
        <c:ser>
          <c:idx val="7"/>
          <c:order val="7"/>
          <c:tx>
            <c:strRef>
              <c:f>'PE1.03_Ind03'!$B$19:$C$19</c:f>
              <c:strCache>
                <c:ptCount val="2"/>
                <c:pt idx="0">
                  <c:v>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'PE1.03_Ind03'!$D$12:$F$12</c:f>
              <c:strCache>
                <c:ptCount val="3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</c:strCache>
            </c:strRef>
          </c:cat>
          <c:val>
            <c:numRef>
              <c:f>'PE1.03_Ind03'!$D$19:$F$19</c:f>
              <c:numCache>
                <c:formatCode>0%</c:formatCode>
                <c:ptCount val="3"/>
                <c:pt idx="0">
                  <c:v>0.95</c:v>
                </c:pt>
                <c:pt idx="1">
                  <c:v>1</c:v>
                </c:pt>
                <c:pt idx="2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9C-4F94-BD02-221C2B9C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34842816"/>
        <c:axId val="1348426720"/>
      </c:barChart>
      <c:lineChart>
        <c:grouping val="standard"/>
        <c:varyColors val="0"/>
        <c:ser>
          <c:idx val="8"/>
          <c:order val="8"/>
          <c:tx>
            <c:strRef>
              <c:f>'PE1.03_Ind03'!$B$22:$C$22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'PE1.03_Ind03'!$D$22:$F$22</c:f>
              <c:numCache>
                <c:formatCode>0%</c:formatCode>
                <c:ptCount val="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9C-4F94-BD02-221C2B9C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842816"/>
        <c:axId val="1348426720"/>
      </c:lineChart>
      <c:catAx>
        <c:axId val="15348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8426720"/>
        <c:crosses val="autoZero"/>
        <c:auto val="1"/>
        <c:lblAlgn val="ctr"/>
        <c:lblOffset val="100"/>
        <c:noMultiLvlLbl val="0"/>
      </c:catAx>
      <c:valAx>
        <c:axId val="134842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3484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Titulacions :Taxa d'ocupació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'PE1.03_Ind04 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'!$C$13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447-4357-B67F-CEFCD3A96F4E}"/>
            </c:ext>
          </c:extLst>
        </c:ser>
        <c:ser>
          <c:idx val="1"/>
          <c:order val="1"/>
          <c:tx>
            <c:strRef>
              <c:f>'PE1.03_Ind04 '!$B$13:$C$13</c:f>
              <c:strCache>
                <c:ptCount val="2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'!$D$13:$G$13</c:f>
              <c:numCache>
                <c:formatCode>0.00%</c:formatCode>
                <c:ptCount val="4"/>
                <c:pt idx="0" formatCode="0%">
                  <c:v>0.7</c:v>
                </c:pt>
                <c:pt idx="1">
                  <c:v>0.84199999999999997</c:v>
                </c:pt>
                <c:pt idx="2" formatCode="0%">
                  <c:v>0.77</c:v>
                </c:pt>
                <c:pt idx="3">
                  <c:v>0.85570000000000002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7-4357-B67F-CEFCD3A96F4E}"/>
            </c:ext>
          </c:extLst>
        </c:ser>
        <c:ser>
          <c:idx val="2"/>
          <c:order val="2"/>
          <c:tx>
            <c:strRef>
              <c:f>'PE1.03_Ind04 '!$B$14:$C$14</c:f>
              <c:strCache>
                <c:ptCount val="2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'!$D$14:$G$14</c:f>
              <c:numCache>
                <c:formatCode>0.00%</c:formatCode>
                <c:ptCount val="4"/>
                <c:pt idx="0" formatCode="0%">
                  <c:v>0.87</c:v>
                </c:pt>
                <c:pt idx="1">
                  <c:v>0.95699999999999996</c:v>
                </c:pt>
                <c:pt idx="2">
                  <c:v>0.90300000000000002</c:v>
                </c:pt>
                <c:pt idx="3">
                  <c:v>0.92600000000000005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7-4357-B67F-CEFCD3A96F4E}"/>
            </c:ext>
          </c:extLst>
        </c:ser>
        <c:ser>
          <c:idx val="3"/>
          <c:order val="3"/>
          <c:tx>
            <c:strRef>
              <c:f>'PE1.03_Ind04 '!$B$15:$C$15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'!$D$15:$G$15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 formatCode="0%">
                  <c:v>0.87</c:v>
                </c:pt>
                <c:pt idx="3" formatCode="0%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7-4357-B67F-CEFCD3A96F4E}"/>
            </c:ext>
          </c:extLst>
        </c:ser>
        <c:ser>
          <c:idx val="4"/>
          <c:order val="4"/>
          <c:tx>
            <c:strRef>
              <c:f>'PE1.03_Ind04 '!$B$16:$C$16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'!$D$16:$G$16</c:f>
              <c:numCache>
                <c:formatCode>0.00%</c:formatCode>
                <c:ptCount val="4"/>
                <c:pt idx="0" formatCode="0.000%">
                  <c:v>0</c:v>
                </c:pt>
                <c:pt idx="1">
                  <c:v>0.69599999999999995</c:v>
                </c:pt>
                <c:pt idx="2">
                  <c:v>0.90300000000000002</c:v>
                </c:pt>
                <c:pt idx="3">
                  <c:v>0.93200000000000005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47-4357-B67F-CEFCD3A96F4E}"/>
            </c:ext>
          </c:extLst>
        </c:ser>
        <c:ser>
          <c:idx val="5"/>
          <c:order val="5"/>
          <c:tx>
            <c:strRef>
              <c:f>'PE1.03_Ind04 '!$B$18:$C$18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'!$D$18:$G$18</c:f>
              <c:numCache>
                <c:formatCode>0%</c:formatCode>
                <c:ptCount val="4"/>
                <c:pt idx="0" formatCode="0.00%">
                  <c:v>0.95699999999999996</c:v>
                </c:pt>
                <c:pt idx="1">
                  <c:v>0.87</c:v>
                </c:pt>
                <c:pt idx="2" formatCode="0.00%">
                  <c:v>0.90300000000000002</c:v>
                </c:pt>
                <c:pt idx="3" formatCode="0.00%">
                  <c:v>0.88600000000000001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47-4357-B67F-CEFCD3A96F4E}"/>
            </c:ext>
          </c:extLst>
        </c:ser>
        <c:ser>
          <c:idx val="6"/>
          <c:order val="6"/>
          <c:tx>
            <c:strRef>
              <c:f>'PE1.03_Ind04 '!$B$19:$C$19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'!$D$19:$G$19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0.91100000000000003</c:v>
                </c:pt>
                <c:pt idx="3">
                  <c:v>0.83599999999999997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7-4357-B67F-CEFCD3A96F4E}"/>
            </c:ext>
          </c:extLst>
        </c:ser>
        <c:ser>
          <c:idx val="7"/>
          <c:order val="7"/>
          <c:tx>
            <c:strRef>
              <c:f>'PE1.03_Ind04 '!$B$20:$C$20</c:f>
              <c:strCache>
                <c:ptCount val="2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'!$D$20:$G$20</c:f>
              <c:numCache>
                <c:formatCode>0.00%</c:formatCode>
                <c:ptCount val="4"/>
                <c:pt idx="0">
                  <c:v>0.81299999999999994</c:v>
                </c:pt>
                <c:pt idx="1">
                  <c:v>0.91800000000000004</c:v>
                </c:pt>
                <c:pt idx="2">
                  <c:v>0.90600000000000003</c:v>
                </c:pt>
                <c:pt idx="3">
                  <c:v>0.90100000000000002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47-4357-B67F-CEFCD3A96F4E}"/>
            </c:ext>
          </c:extLst>
        </c:ser>
        <c:ser>
          <c:idx val="8"/>
          <c:order val="8"/>
          <c:tx>
            <c:strRef>
              <c:f>'PE1.03_Ind04 '!$B$21:$C$21</c:f>
              <c:strCache>
                <c:ptCount val="2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'!$D$21:$G$21</c:f>
              <c:numCache>
                <c:formatCode>0.00%</c:formatCode>
                <c:ptCount val="4"/>
                <c:pt idx="0">
                  <c:v>0.878</c:v>
                </c:pt>
                <c:pt idx="1">
                  <c:v>0.92200000000000004</c:v>
                </c:pt>
                <c:pt idx="2">
                  <c:v>0.875</c:v>
                </c:pt>
                <c:pt idx="3" formatCode="0%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47-4357-B67F-CEFCD3A96F4E}"/>
            </c:ext>
          </c:extLst>
        </c:ser>
        <c:ser>
          <c:idx val="9"/>
          <c:order val="9"/>
          <c:tx>
            <c:strRef>
              <c:f>'PE1.03_Ind04 '!$B$22:$C$22</c:f>
              <c:strCache>
                <c:ptCount val="2"/>
                <c:pt idx="0">
                  <c:v>Física d’Altes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'!$D$22:$G$22</c:f>
              <c:numCache>
                <c:formatCode>0.00%</c:formatCode>
                <c:ptCount val="4"/>
                <c:pt idx="0">
                  <c:v>0.76300000000000001</c:v>
                </c:pt>
                <c:pt idx="1">
                  <c:v>0.76800000000000002</c:v>
                </c:pt>
                <c:pt idx="2" formatCode="0%">
                  <c:v>0.85</c:v>
                </c:pt>
                <c:pt idx="3">
                  <c:v>0.95199999999999996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47-4357-B67F-CEFCD3A96F4E}"/>
            </c:ext>
          </c:extLst>
        </c:ser>
        <c:ser>
          <c:idx val="10"/>
          <c:order val="10"/>
          <c:tx>
            <c:strRef>
              <c:f>'PE1.03_Ind04 '!$B$23:$C$23</c:f>
              <c:strCache>
                <c:ptCount val="2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'!$D$23:$G$23</c:f>
              <c:numCache>
                <c:formatCode>0.00%</c:formatCode>
                <c:ptCount val="4"/>
                <c:pt idx="0">
                  <c:v>0.71899999999999997</c:v>
                </c:pt>
                <c:pt idx="1">
                  <c:v>0.81299999999999994</c:v>
                </c:pt>
                <c:pt idx="2">
                  <c:v>0.877</c:v>
                </c:pt>
                <c:pt idx="3">
                  <c:v>0.76500000000000001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47-4357-B67F-CEFCD3A96F4E}"/>
            </c:ext>
          </c:extLst>
        </c:ser>
        <c:ser>
          <c:idx val="11"/>
          <c:order val="11"/>
          <c:tx>
            <c:strRef>
              <c:f>'PE1.03_Ind04 '!$B$24:$C$24</c:f>
              <c:strCache>
                <c:ptCount val="2"/>
                <c:pt idx="0">
                  <c:v>Modelització per a la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'!$D$24:$G$24</c:f>
              <c:numCache>
                <c:formatCode>0.00%</c:formatCode>
                <c:ptCount val="4"/>
                <c:pt idx="0">
                  <c:v>0.76300000000000001</c:v>
                </c:pt>
                <c:pt idx="1">
                  <c:v>0.76800000000000002</c:v>
                </c:pt>
                <c:pt idx="2" formatCode="0%">
                  <c:v>0.85</c:v>
                </c:pt>
                <c:pt idx="3">
                  <c:v>0.93600000000000005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447-4357-B67F-CEFCD3A96F4E}"/>
            </c:ext>
          </c:extLst>
        </c:ser>
        <c:ser>
          <c:idx val="12"/>
          <c:order val="12"/>
          <c:tx>
            <c:strRef>
              <c:f>'PE1.03_Ind04 '!$B$25:$C$25</c:f>
              <c:strCache>
                <c:ptCount val="2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'!$D$25:$G$25</c:f>
              <c:numCache>
                <c:formatCode>0.00%</c:formatCode>
                <c:ptCount val="4"/>
                <c:pt idx="0" formatCode="0%">
                  <c:v>0.92</c:v>
                </c:pt>
                <c:pt idx="1">
                  <c:v>0.89300000000000002</c:v>
                </c:pt>
                <c:pt idx="2">
                  <c:v>0.97099999999999997</c:v>
                </c:pt>
                <c:pt idx="3">
                  <c:v>0.95499999999999996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47-4357-B67F-CEFCD3A96F4E}"/>
            </c:ext>
          </c:extLst>
        </c:ser>
        <c:ser>
          <c:idx val="13"/>
          <c:order val="13"/>
          <c:tx>
            <c:strRef>
              <c:f>'PE1.03_Ind04 '!$B$26:$C$26</c:f>
              <c:strCache>
                <c:ptCount val="2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'!$D$26:$G$26</c:f>
              <c:numCache>
                <c:formatCode>0.00%</c:formatCode>
                <c:ptCount val="4"/>
                <c:pt idx="0">
                  <c:v>0.83599999999999997</c:v>
                </c:pt>
                <c:pt idx="1">
                  <c:v>0.88900000000000001</c:v>
                </c:pt>
                <c:pt idx="2" formatCode="0%">
                  <c:v>0.88</c:v>
                </c:pt>
                <c:pt idx="3">
                  <c:v>0.86699999999999999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447-4357-B67F-CEFCD3A96F4E}"/>
            </c:ext>
          </c:extLst>
        </c:ser>
        <c:ser>
          <c:idx val="14"/>
          <c:order val="14"/>
          <c:tx>
            <c:strRef>
              <c:f>'PE1.03_Ind04 '!$B$27:$C$27</c:f>
              <c:strCache>
                <c:ptCount val="2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'PE1.03_Ind04 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'PE1.03_Ind04 '!$D$27:$G$27</c:f>
              <c:numCache>
                <c:formatCode>0.00%</c:formatCode>
                <c:ptCount val="4"/>
                <c:pt idx="0" formatCode="0%">
                  <c:v>0.95</c:v>
                </c:pt>
                <c:pt idx="1">
                  <c:v>0.69199999999999995</c:v>
                </c:pt>
                <c:pt idx="2">
                  <c:v>0.82899999999999996</c:v>
                </c:pt>
                <c:pt idx="3">
                  <c:v>0.92200000000000004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47-4357-B67F-CEFCD3A9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589536"/>
        <c:axId val="514590368"/>
      </c:barChart>
      <c:lineChart>
        <c:grouping val="standard"/>
        <c:varyColors val="0"/>
        <c:ser>
          <c:idx val="15"/>
          <c:order val="15"/>
          <c:tx>
            <c:strRef>
              <c:f>'PE1.03_Ind04 '!$B$30:$C$30</c:f>
              <c:strCache>
                <c:ptCount val="2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3.7842947991473352E-3"/>
                  <c:y val="3.344481018182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47-4357-B67F-CEFCD3A96F4E}"/>
                </c:ext>
              </c:extLst>
            </c:dLbl>
            <c:dLbl>
              <c:idx val="1"/>
              <c:layout>
                <c:manualLayout>
                  <c:x val="-1.1352884397441936E-2"/>
                  <c:y val="3.344481018182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47-4357-B67F-CEFCD3A96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'PE1.03_Ind04 '!$D$30:$F$30</c:f>
              <c:numCache>
                <c:formatCode>0%</c:formatCode>
                <c:ptCount val="3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47-4357-B67F-CEFCD3A9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89536"/>
        <c:axId val="514590368"/>
      </c:lineChart>
      <c:catAx>
        <c:axId val="5145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4590368"/>
        <c:crosses val="autoZero"/>
        <c:auto val="1"/>
        <c:lblAlgn val="ctr"/>
        <c:lblOffset val="100"/>
        <c:noMultiLvlLbl val="0"/>
      </c:catAx>
      <c:valAx>
        <c:axId val="51459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45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Compliment: PE1.03_Ind05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'PE1.03_Ind04 '!$B$31:$C$31</c:f>
              <c:strCache>
                <c:ptCount val="2"/>
                <c:pt idx="0">
                  <c:v>Compliment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414-4A9F-B116-9213EC3072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14-4A9F-B116-9213EC3072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414-4A9F-B116-9213EC3072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'PE1.03_Ind04 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'PE1.03_Ind04 '!$D$31:$F$31</c:f>
              <c:numCache>
                <c:formatCode>0.00%</c:formatCode>
                <c:ptCount val="3"/>
                <c:pt idx="0" formatCode="0%">
                  <c:v>1</c:v>
                </c:pt>
                <c:pt idx="1">
                  <c:v>0.83333333333333337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4-4A9F-B116-9213EC3072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3978336"/>
        <c:axId val="843978752"/>
      </c:barChart>
      <c:lineChart>
        <c:grouping val="standard"/>
        <c:varyColors val="0"/>
        <c:ser>
          <c:idx val="1"/>
          <c:order val="1"/>
          <c:tx>
            <c:strRef>
              <c:f>'PE1.03_Ind04 '!$B$30:$C$30</c:f>
              <c:strCache>
                <c:ptCount val="2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4999999999999949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14-4A9F-B116-9213EC307299}"/>
                </c:ext>
              </c:extLst>
            </c:dLbl>
            <c:dLbl>
              <c:idx val="1"/>
              <c:layout>
                <c:manualLayout>
                  <c:x val="2.5000000000000001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14-4A9F-B116-9213EC307299}"/>
                </c:ext>
              </c:extLst>
            </c:dLbl>
            <c:dLbl>
              <c:idx val="2"/>
              <c:layout>
                <c:manualLayout>
                  <c:x val="3.3333333333333333E-2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4-4A9F-B116-9213EC307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'PE1.03_Ind04 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'PE1.03_Ind04 '!$D$30:$F$30</c:f>
              <c:numCache>
                <c:formatCode>0%</c:formatCode>
                <c:ptCount val="3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4-4A9F-B116-9213EC3072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3978336"/>
        <c:axId val="843978752"/>
      </c:lineChart>
      <c:catAx>
        <c:axId val="8439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3978752"/>
        <c:crosses val="autoZero"/>
        <c:auto val="1"/>
        <c:lblAlgn val="ctr"/>
        <c:lblOffset val="100"/>
        <c:noMultiLvlLbl val="0"/>
      </c:catAx>
      <c:valAx>
        <c:axId val="8439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3978336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/>
              <a:t>PE1.02_Ind01. Percentatge de processos modificats en cada revisió</a:t>
            </a:r>
          </a:p>
        </c:rich>
      </c:tx>
      <c:layout>
        <c:manualLayout>
          <c:xMode val="edge"/>
          <c:yMode val="edge"/>
          <c:x val="0.132958308896015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430577427821522E-2"/>
          <c:y val="3.7037037037037035E-2"/>
          <c:w val="0.8951386701662291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'PE1.03_Ind05'!$C$12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'PE1.03_Ind05'!$F$12:$J$12</c:f>
              <c:strCache>
                <c:ptCount val="5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  <c:pt idx="4">
                  <c:v>2023/2024</c:v>
                </c:pt>
              </c:strCache>
            </c:strRef>
          </c:cat>
          <c:val>
            <c:numRef>
              <c:f>'PE1.03_Ind05'!$D$12:$J$12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D-4470-95BF-EC3C9CF232BB}"/>
            </c:ext>
          </c:extLst>
        </c:ser>
        <c:ser>
          <c:idx val="1"/>
          <c:order val="1"/>
          <c:tx>
            <c:strRef>
              <c:f>'PE1.03_Ind05'!$B$15</c:f>
              <c:strCache>
                <c:ptCount val="1"/>
                <c:pt idx="0">
                  <c:v>% titulacions presentades per ser verificades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3D-4470-95BF-EC3C9CF232BB}"/>
              </c:ext>
            </c:extLst>
          </c:dPt>
          <c:dPt>
            <c:idx val="1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23D-4470-95BF-EC3C9CF232BB}"/>
              </c:ext>
            </c:extLst>
          </c:dPt>
          <c:dPt>
            <c:idx val="2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3D-4470-95BF-EC3C9CF232BB}"/>
              </c:ext>
            </c:extLst>
          </c:dPt>
          <c:dPt>
            <c:idx val="3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23D-4470-95BF-EC3C9CF232BB}"/>
              </c:ext>
            </c:extLst>
          </c:dPt>
          <c:dPt>
            <c:idx val="4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23D-4470-95BF-EC3C9CF232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'PE1.03_Ind05'!$F$12:$J$12</c:f>
              <c:strCache>
                <c:ptCount val="5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  <c:pt idx="4">
                  <c:v>2023/2024</c:v>
                </c:pt>
              </c:strCache>
            </c:strRef>
          </c:cat>
          <c:val>
            <c:numRef>
              <c:f>'PE1.03_Ind05'!$F$15:$J$15</c:f>
              <c:numCache>
                <c:formatCode>0%</c:formatCode>
                <c:ptCount val="5"/>
                <c:pt idx="0">
                  <c:v>6.6666666666666666E-2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D-4470-95BF-EC3C9CF23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42390063"/>
        <c:axId val="513460655"/>
      </c:barChart>
      <c:lineChart>
        <c:grouping val="standard"/>
        <c:varyColors val="0"/>
        <c:ser>
          <c:idx val="2"/>
          <c:order val="2"/>
          <c:tx>
            <c:strRef>
              <c:f>'PE1.03_Ind05'!$F$12:$J$12</c:f>
              <c:strCache>
                <c:ptCount val="5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  <c:pt idx="4">
                  <c:v>2023/2024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'PE1.03_Ind05'!$D$12:$H$12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'PE1.03_Ind05'!$D$16:$H$16</c:f>
              <c:numCache>
                <c:formatCode>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D-4470-95BF-EC3C9CF23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390063"/>
        <c:axId val="513460655"/>
      </c:lineChart>
      <c:catAx>
        <c:axId val="64239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3460655"/>
        <c:crosses val="autoZero"/>
        <c:auto val="1"/>
        <c:lblAlgn val="ctr"/>
        <c:lblOffset val="100"/>
        <c:noMultiLvlLbl val="0"/>
      </c:catAx>
      <c:valAx>
        <c:axId val="5134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2390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254651409461275E-2"/>
          <c:y val="0.31036188168786594"/>
          <c:w val="0.14477607097844941"/>
          <c:h val="0.18073124422274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/>
              <a:t>PE1.02_Ind01. Percentatge de processos modificats en cada revisió</a:t>
            </a:r>
          </a:p>
        </c:rich>
      </c:tx>
      <c:layout>
        <c:manualLayout>
          <c:xMode val="edge"/>
          <c:yMode val="edge"/>
          <c:x val="0.132958308896015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430577427821522E-2"/>
          <c:y val="3.7037037037037035E-2"/>
          <c:w val="0.8951386701662291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'PE1.03_Ind06'!$C$12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'PE1.03_Ind06'!$G$12:$I$12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'PE1.03_Ind06'!$D$12:$H$12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1-4CFE-AEAF-EF3C5665FCF5}"/>
            </c:ext>
          </c:extLst>
        </c:ser>
        <c:ser>
          <c:idx val="1"/>
          <c:order val="1"/>
          <c:tx>
            <c:strRef>
              <c:f>'PE1.03_Ind06'!$B$15</c:f>
              <c:strCache>
                <c:ptCount val="1"/>
                <c:pt idx="0">
                  <c:v>% titulacions presentades per ser verificades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C91-4CFE-AEAF-EF3C5665FCF5}"/>
              </c:ext>
            </c:extLst>
          </c:dPt>
          <c:dPt>
            <c:idx val="1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C91-4CFE-AEAF-EF3C5665FCF5}"/>
              </c:ext>
            </c:extLst>
          </c:dPt>
          <c:dPt>
            <c:idx val="2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C91-4CFE-AEAF-EF3C5665FCF5}"/>
              </c:ext>
            </c:extLst>
          </c:dPt>
          <c:dPt>
            <c:idx val="3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C91-4CFE-AEAF-EF3C5665FCF5}"/>
              </c:ext>
            </c:extLst>
          </c:dPt>
          <c:dPt>
            <c:idx val="4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C91-4CFE-AEAF-EF3C5665FC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'PE1.03_Ind06'!$G$12:$I$12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'PE1.03_Ind06'!$G$15:$I$15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91-4CFE-AEAF-EF3C5665FC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42390063"/>
        <c:axId val="513460655"/>
      </c:barChart>
      <c:lineChart>
        <c:grouping val="standard"/>
        <c:varyColors val="0"/>
        <c:ser>
          <c:idx val="2"/>
          <c:order val="2"/>
          <c:tx>
            <c:strRef>
              <c:f>'PE1.03_Ind06'!$B$16</c:f>
              <c:strCache>
                <c:ptCount val="1"/>
                <c:pt idx="0">
                  <c:v>Objectiu màx 25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'PE1.03_Ind06'!$D$12:$H$12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'PE1.03_Ind06'!$D$16:$H$16</c:f>
              <c:numCache>
                <c:formatCode>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91-4CFE-AEAF-EF3C5665FC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390063"/>
        <c:axId val="513460655"/>
      </c:lineChart>
      <c:catAx>
        <c:axId val="64239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3460655"/>
        <c:crosses val="autoZero"/>
        <c:auto val="1"/>
        <c:lblAlgn val="ctr"/>
        <c:lblOffset val="100"/>
        <c:noMultiLvlLbl val="0"/>
      </c:catAx>
      <c:valAx>
        <c:axId val="5134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2390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254651409461275E-2"/>
          <c:y val="0.31036188168786594"/>
          <c:w val="0.14477607097844941"/>
          <c:h val="0.18073124422274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/>
              <a:t>PE1.02_Ind01. Percentatge de processos modificats en cada revisió</a:t>
            </a:r>
          </a:p>
        </c:rich>
      </c:tx>
      <c:layout>
        <c:manualLayout>
          <c:xMode val="edge"/>
          <c:yMode val="edge"/>
          <c:x val="0.132958308896015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430577427821522E-2"/>
          <c:y val="3.7037037037037035E-2"/>
          <c:w val="0.8951386701662291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'PE1.03_Ind07'!$C$12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'PE1.03_Ind07'!$G$12:$I$12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'PE1.03_Ind07'!$D$12:$H$12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FDE-AE51-86B3FEDAEEB5}"/>
            </c:ext>
          </c:extLst>
        </c:ser>
        <c:ser>
          <c:idx val="1"/>
          <c:order val="1"/>
          <c:tx>
            <c:strRef>
              <c:f>'PE1.03_Ind07'!$B$15</c:f>
              <c:strCache>
                <c:ptCount val="1"/>
                <c:pt idx="0">
                  <c:v>% titulacions presentades per ser verificades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A65-4FDE-AE51-86B3FEDAEEB5}"/>
              </c:ext>
            </c:extLst>
          </c:dPt>
          <c:dPt>
            <c:idx val="1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A65-4FDE-AE51-86B3FEDAEEB5}"/>
              </c:ext>
            </c:extLst>
          </c:dPt>
          <c:dPt>
            <c:idx val="2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A65-4FDE-AE51-86B3FEDAEEB5}"/>
              </c:ext>
            </c:extLst>
          </c:dPt>
          <c:dPt>
            <c:idx val="3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A65-4FDE-AE51-86B3FEDAEEB5}"/>
              </c:ext>
            </c:extLst>
          </c:dPt>
          <c:dPt>
            <c:idx val="4"/>
            <c:invertIfNegative val="0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A65-4FDE-AE51-86B3FEDAE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'PE1.03_Ind07'!$G$12:$I$12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'PE1.03_Ind07'!$G$15:$I$15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65-4FDE-AE51-86B3FEDAE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42390063"/>
        <c:axId val="513460655"/>
      </c:barChart>
      <c:lineChart>
        <c:grouping val="standard"/>
        <c:varyColors val="0"/>
        <c:ser>
          <c:idx val="2"/>
          <c:order val="2"/>
          <c:tx>
            <c:strRef>
              <c:f>'PE1.03_Ind07'!$B$16</c:f>
              <c:strCache>
                <c:ptCount val="1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'PE1.03_Ind07'!$D$12:$H$12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'PE1.03_Ind07'!$D$16:$H$16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65-4FDE-AE51-86B3FEDAE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390063"/>
        <c:axId val="513460655"/>
      </c:lineChart>
      <c:catAx>
        <c:axId val="64239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3460655"/>
        <c:crosses val="autoZero"/>
        <c:auto val="1"/>
        <c:lblAlgn val="ctr"/>
        <c:lblOffset val="100"/>
        <c:noMultiLvlLbl val="0"/>
      </c:catAx>
      <c:valAx>
        <c:axId val="51346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2390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254651409461275E-2"/>
          <c:y val="0.31036188168786594"/>
          <c:w val="0.14477607097844941"/>
          <c:h val="0.18073124422274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PC2.01-Ind03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F929A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'PC2.01_Ind01'!$D$12:$H$12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'PC2.01_Ind01'!$D$31:$H$31</c:f>
              <c:numCache>
                <c:formatCode>0%</c:formatCode>
                <c:ptCount val="5"/>
                <c:pt idx="0" formatCode="0.00%">
                  <c:v>0.8571428571428571</c:v>
                </c:pt>
                <c:pt idx="1">
                  <c:v>0.6</c:v>
                </c:pt>
                <c:pt idx="2" formatCode="0.00%">
                  <c:v>0.73333333333333328</c:v>
                </c:pt>
                <c:pt idx="3">
                  <c:v>0.6</c:v>
                </c:pt>
                <c:pt idx="4" formatCode="0.00%">
                  <c:v>0.8571428571428571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0-1DEF-4F48-8C23-7C46D39BB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lineChart>
        <c:grouping val="standard"/>
        <c:varyColors val="1"/>
        <c:ser>
          <c:idx val="1"/>
          <c:order val="1"/>
          <c:tx>
            <c:strRef>
              <c:f>'PC2.01_Ind01'!$B$30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9563932002956393E-3"/>
                  <c:y val="-9.824561403508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31-4045-A531-E487CCA26397}"/>
                </c:ext>
              </c:extLst>
            </c:dLbl>
            <c:dLbl>
              <c:idx val="1"/>
              <c:layout>
                <c:manualLayout>
                  <c:x val="1.7738359201773836E-2"/>
                  <c:y val="-0.102923976608187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31-4045-A531-E487CCA26397}"/>
                </c:ext>
              </c:extLst>
            </c:dLbl>
            <c:dLbl>
              <c:idx val="2"/>
              <c:layout>
                <c:manualLayout>
                  <c:x val="8.869179600886918E-3"/>
                  <c:y val="-8.4210526315789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31-4045-A531-E487CCA26397}"/>
                </c:ext>
              </c:extLst>
            </c:dLbl>
            <c:dLbl>
              <c:idx val="3"/>
              <c:layout>
                <c:manualLayout>
                  <c:x val="5.9127864005912786E-3"/>
                  <c:y val="-8.888888888888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31-4045-A531-E487CCA26397}"/>
                </c:ext>
              </c:extLst>
            </c:dLbl>
            <c:dLbl>
              <c:idx val="4"/>
              <c:layout>
                <c:manualLayout>
                  <c:x val="0"/>
                  <c:y val="-9.356725146198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31-4045-A531-E487CCA263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'PC2.01_Ind01'!$D$30:$H$30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1-4045-A531-E487CCA26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23127"/>
        <c:axId val="517237689"/>
      </c:lineChart>
      <c:catAx>
        <c:axId val="1151423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1423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PC2.01_Ind02. Percentatge d’hores de docència impartides per PDI amb títol de doctor</a:t>
            </a:r>
            <a:r>
              <a:rPr lang="ca-ES" sz="1800" b="1">
                <a:effectLst/>
              </a:rPr>
              <a:t>.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'PC2.01_Ind02'!$C$12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0-48B1-8397-AD52514F4731}"/>
            </c:ext>
          </c:extLst>
        </c:ser>
        <c:ser>
          <c:idx val="1"/>
          <c:order val="1"/>
          <c:tx>
            <c:strRef>
              <c:f>'PC2.01_Ind02'!$B$13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'PC2.01_Ind02'!$D$13:$H$13</c:f>
              <c:numCache>
                <c:formatCode>0%</c:formatCode>
                <c:ptCount val="5"/>
                <c:pt idx="0" formatCode="0.00%">
                  <c:v>0.86799999999999999</c:v>
                </c:pt>
                <c:pt idx="1">
                  <c:v>0.79</c:v>
                </c:pt>
                <c:pt idx="2">
                  <c:v>0.78</c:v>
                </c:pt>
                <c:pt idx="3">
                  <c:v>0.76</c:v>
                </c:pt>
                <c:pt idx="4" formatCode="0.00%">
                  <c:v>0.751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0-48B1-8397-AD52514F4731}"/>
            </c:ext>
          </c:extLst>
        </c:ser>
        <c:ser>
          <c:idx val="2"/>
          <c:order val="2"/>
          <c:tx>
            <c:strRef>
              <c:f>'PC2.01_Ind02'!$B$14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'PC2.01_Ind02'!$D$14:$H$14</c:f>
              <c:numCache>
                <c:formatCode>0%</c:formatCode>
                <c:ptCount val="5"/>
                <c:pt idx="0">
                  <c:v>0.68</c:v>
                </c:pt>
                <c:pt idx="1">
                  <c:v>0.71</c:v>
                </c:pt>
                <c:pt idx="2">
                  <c:v>0.7</c:v>
                </c:pt>
                <c:pt idx="3">
                  <c:v>0.7</c:v>
                </c:pt>
                <c:pt idx="4" formatCode="0.00%">
                  <c:v>0.72189999999999999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0-48B1-8397-AD52514F4731}"/>
            </c:ext>
          </c:extLst>
        </c:ser>
        <c:ser>
          <c:idx val="3"/>
          <c:order val="3"/>
          <c:tx>
            <c:strRef>
              <c:f>'PC2.01_Ind02'!$B$15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'PC2.01_Ind02'!$D$15:$H$15</c:f>
              <c:numCache>
                <c:formatCode>0%</c:formatCode>
                <c:ptCount val="5"/>
                <c:pt idx="0">
                  <c:v>0.85</c:v>
                </c:pt>
                <c:pt idx="1">
                  <c:v>0.86</c:v>
                </c:pt>
                <c:pt idx="2">
                  <c:v>0.82</c:v>
                </c:pt>
                <c:pt idx="3">
                  <c:v>0.81</c:v>
                </c:pt>
                <c:pt idx="4" formatCode="0.00%">
                  <c:v>0.78359999999999996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F0-48B1-8397-AD52514F4731}"/>
            </c:ext>
          </c:extLst>
        </c:ser>
        <c:ser>
          <c:idx val="4"/>
          <c:order val="4"/>
          <c:tx>
            <c:strRef>
              <c:f>'PC2.01_Ind02'!$B$16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'PC2.01_Ind02'!$D$16:$H$16</c:f>
              <c:numCache>
                <c:formatCode>0.00%</c:formatCode>
                <c:ptCount val="5"/>
                <c:pt idx="0" formatCode="0%">
                  <c:v>0.9</c:v>
                </c:pt>
                <c:pt idx="1">
                  <c:v>0.90400000000000003</c:v>
                </c:pt>
                <c:pt idx="2" formatCode="General">
                  <c:v>0</c:v>
                </c:pt>
                <c:pt idx="3" formatCode="0%">
                  <c:v>0.87</c:v>
                </c:pt>
                <c:pt idx="4">
                  <c:v>0.89190000000000003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F0-48B1-8397-AD52514F4731}"/>
            </c:ext>
          </c:extLst>
        </c:ser>
        <c:ser>
          <c:idx val="5"/>
          <c:order val="5"/>
          <c:tx>
            <c:strRef>
              <c:f>'PC2.01_Ind02'!$B$17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'PC2.01_Ind02'!$D$17:$H$17</c:f>
              <c:numCache>
                <c:formatCode>0%</c:formatCode>
                <c:ptCount val="5"/>
                <c:pt idx="0">
                  <c:v>0.88</c:v>
                </c:pt>
                <c:pt idx="1">
                  <c:v>0.94</c:v>
                </c:pt>
                <c:pt idx="2">
                  <c:v>0.94</c:v>
                </c:pt>
                <c:pt idx="3">
                  <c:v>0.95</c:v>
                </c:pt>
                <c:pt idx="4" formatCode="0.00%">
                  <c:v>0.93440000000000001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F0-48B1-8397-AD52514F4731}"/>
            </c:ext>
          </c:extLst>
        </c:ser>
        <c:ser>
          <c:idx val="6"/>
          <c:order val="6"/>
          <c:tx>
            <c:strRef>
              <c:f>'PC2.01_Ind02'!$B$18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'PC2.01_Ind02'!$D$18:$H$18</c:f>
              <c:numCache>
                <c:formatCode>0%</c:formatCode>
                <c:ptCount val="5"/>
                <c:pt idx="0">
                  <c:v>0.83</c:v>
                </c:pt>
                <c:pt idx="1">
                  <c:v>0.83</c:v>
                </c:pt>
                <c:pt idx="2">
                  <c:v>0.86</c:v>
                </c:pt>
                <c:pt idx="3">
                  <c:v>0.81</c:v>
                </c:pt>
                <c:pt idx="4" formatCode="0.00%">
                  <c:v>0.78129999999999999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F0-48B1-8397-AD52514F4731}"/>
            </c:ext>
          </c:extLst>
        </c:ser>
        <c:ser>
          <c:idx val="7"/>
          <c:order val="7"/>
          <c:tx>
            <c:strRef>
              <c:f>'PC2.01_Ind02'!$B$19</c:f>
              <c:strCache>
                <c:ptCount val="1"/>
                <c:pt idx="0">
                  <c:v>Matemàtiques Computacional de Dades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'PC2.01_Ind02'!$D$19:$H$19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1</c:v>
                </c:pt>
                <c:pt idx="2">
                  <c:v>0.94</c:v>
                </c:pt>
                <c:pt idx="3">
                  <c:v>0.88</c:v>
                </c:pt>
                <c:pt idx="4" formatCode="0.00%">
                  <c:v>0.84130000000000005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F0-48B1-8397-AD52514F4731}"/>
            </c:ext>
          </c:extLst>
        </c:ser>
        <c:ser>
          <c:idx val="8"/>
          <c:order val="8"/>
          <c:tx>
            <c:strRef>
              <c:f>'PC2.01_Ind02'!$B$20</c:f>
              <c:strCache>
                <c:ptCount val="1"/>
                <c:pt idx="0">
                  <c:v>Nanociència i Nanotecnologia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'PC2.01_Ind02'!$D$20:$H$20</c:f>
              <c:numCache>
                <c:formatCode>0%</c:formatCode>
                <c:ptCount val="5"/>
                <c:pt idx="0">
                  <c:v>0.83</c:v>
                </c:pt>
                <c:pt idx="1">
                  <c:v>0.81</c:v>
                </c:pt>
                <c:pt idx="2">
                  <c:v>0.86</c:v>
                </c:pt>
                <c:pt idx="3">
                  <c:v>0.84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F0-48B1-8397-AD52514F4731}"/>
            </c:ext>
          </c:extLst>
        </c:ser>
        <c:ser>
          <c:idx val="9"/>
          <c:order val="9"/>
          <c:tx>
            <c:strRef>
              <c:f>'PC2.01_Ind02'!$B$21</c:f>
              <c:strCache>
                <c:ptCount val="1"/>
                <c:pt idx="0">
                  <c:v>CCAA+Geologia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'PC2.01_Ind02'!$D$21:$H$21</c:f>
              <c:numCache>
                <c:formatCode>0%</c:formatCode>
                <c:ptCount val="5"/>
                <c:pt idx="0">
                  <c:v>0.86</c:v>
                </c:pt>
                <c:pt idx="1">
                  <c:v>0.82</c:v>
                </c:pt>
                <c:pt idx="2">
                  <c:v>0.79</c:v>
                </c:pt>
                <c:pt idx="3">
                  <c:v>0.75</c:v>
                </c:pt>
                <c:pt idx="4" formatCode="0.00%">
                  <c:v>0.75890000000000002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F0-48B1-8397-AD52514F4731}"/>
            </c:ext>
          </c:extLst>
        </c:ser>
        <c:ser>
          <c:idx val="10"/>
          <c:order val="10"/>
          <c:tx>
            <c:strRef>
              <c:f>'PC2.01_Ind02'!$B$22</c:f>
              <c:strCache>
                <c:ptCount val="1"/>
                <c:pt idx="0">
                  <c:v>Física+Matemàtiques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'PC2.01_Ind02'!$D$22:$H$22</c:f>
              <c:numCache>
                <c:formatCode>0%</c:formatCode>
                <c:ptCount val="5"/>
                <c:pt idx="0">
                  <c:v>0.96</c:v>
                </c:pt>
                <c:pt idx="1">
                  <c:v>0.94</c:v>
                </c:pt>
                <c:pt idx="2">
                  <c:v>0.94</c:v>
                </c:pt>
                <c:pt idx="3">
                  <c:v>0.93</c:v>
                </c:pt>
                <c:pt idx="4" formatCode="0.00%">
                  <c:v>0.93269999999999997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F0-48B1-8397-AD52514F4731}"/>
            </c:ext>
          </c:extLst>
        </c:ser>
        <c:ser>
          <c:idx val="11"/>
          <c:order val="11"/>
          <c:tx>
            <c:strRef>
              <c:f>'PC2.01_Ind02'!$B$23</c:f>
              <c:strCache>
                <c:ptCount val="1"/>
                <c:pt idx="0">
                  <c:v>Física +Química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'PC2.01_Ind02'!$D$23:$H$23</c:f>
              <c:numCache>
                <c:formatCode>0%</c:formatCode>
                <c:ptCount val="5"/>
                <c:pt idx="0">
                  <c:v>0.85</c:v>
                </c:pt>
                <c:pt idx="1">
                  <c:v>0.87</c:v>
                </c:pt>
                <c:pt idx="2">
                  <c:v>0.9</c:v>
                </c:pt>
                <c:pt idx="3">
                  <c:v>0.96</c:v>
                </c:pt>
                <c:pt idx="4" formatCode="0.00%">
                  <c:v>0.80759999999999998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F0-48B1-8397-AD52514F4731}"/>
            </c:ext>
          </c:extLst>
        </c:ser>
        <c:ser>
          <c:idx val="12"/>
          <c:order val="12"/>
          <c:tx>
            <c:strRef>
              <c:f>'PC2.01_Ind02'!$B$24</c:f>
              <c:strCache>
                <c:ptCount val="1"/>
                <c:pt idx="0">
                  <c:v>Estudis inter.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'PC2.01_Ind02'!$D$24:$H$24</c:f>
              <c:numCache>
                <c:formatCode>0%</c:formatCode>
                <c:ptCount val="5"/>
                <c:pt idx="0" formatCode="0.00%">
                  <c:v>0.91500000000000004</c:v>
                </c:pt>
                <c:pt idx="1">
                  <c:v>0.88</c:v>
                </c:pt>
                <c:pt idx="2">
                  <c:v>0.9</c:v>
                </c:pt>
                <c:pt idx="3" formatCode="0.00%">
                  <c:v>0.89800000000000002</c:v>
                </c:pt>
                <c:pt idx="4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F0-48B1-8397-AD52514F4731}"/>
            </c:ext>
          </c:extLst>
        </c:ser>
        <c:ser>
          <c:idx val="13"/>
          <c:order val="13"/>
          <c:tx>
            <c:strRef>
              <c:f>'PC2.01_Ind02'!$B$25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'PC2.01_Ind02'!$D$25:$H$25</c:f>
              <c:numCache>
                <c:formatCode>0.00%</c:formatCode>
                <c:ptCount val="5"/>
                <c:pt idx="0">
                  <c:v>0.995</c:v>
                </c:pt>
                <c:pt idx="1">
                  <c:v>0.86199999999999999</c:v>
                </c:pt>
                <c:pt idx="2">
                  <c:v>0.88400000000000001</c:v>
                </c:pt>
                <c:pt idx="3">
                  <c:v>0.89500000000000002</c:v>
                </c:pt>
                <c:pt idx="4">
                  <c:v>0.99950000000000006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7F0-48B1-8397-AD52514F4731}"/>
            </c:ext>
          </c:extLst>
        </c:ser>
        <c:ser>
          <c:idx val="14"/>
          <c:order val="14"/>
          <c:tx>
            <c:strRef>
              <c:f>'PC2.01_Ind02'!$B$26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'PC2.01_Ind02'!$D$26:$H$26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%">
                  <c:v>0.98599999999999999</c:v>
                </c:pt>
                <c:pt idx="4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F0-48B1-8397-AD52514F4731}"/>
            </c:ext>
          </c:extLst>
        </c:ser>
        <c:ser>
          <c:idx val="15"/>
          <c:order val="15"/>
          <c:tx>
            <c:strRef>
              <c:f>'PC2.01_Ind02'!$B$27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'PC2.01_Ind02'!$D$27:$H$27</c:f>
              <c:numCache>
                <c:formatCode>0%</c:formatCode>
                <c:ptCount val="5"/>
                <c:pt idx="0" formatCode="0.00%">
                  <c:v>0.96599999999999997</c:v>
                </c:pt>
                <c:pt idx="1">
                  <c:v>1</c:v>
                </c:pt>
                <c:pt idx="2" formatCode="0.00%">
                  <c:v>0.95599999999999996</c:v>
                </c:pt>
                <c:pt idx="3" formatCode="0.00%">
                  <c:v>0.97699999999999998</c:v>
                </c:pt>
                <c:pt idx="4" formatCode="0.00%">
                  <c:v>0.97499999999999998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7F0-48B1-8397-AD52514F4731}"/>
            </c:ext>
          </c:extLst>
        </c:ser>
        <c:ser>
          <c:idx val="16"/>
          <c:order val="16"/>
          <c:tx>
            <c:strRef>
              <c:f>'PC2.01_Ind02'!$B$28</c:f>
              <c:strCache>
                <c:ptCount val="1"/>
                <c:pt idx="0">
                  <c:v>Nanociència i Nanotecnologia avançades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'PC2.01_Ind02'!$D$28:$H$28</c:f>
              <c:numCache>
                <c:formatCode>0.00%</c:formatCode>
                <c:ptCount val="5"/>
                <c:pt idx="0">
                  <c:v>0.96299999999999997</c:v>
                </c:pt>
                <c:pt idx="1">
                  <c:v>0.93100000000000005</c:v>
                </c:pt>
                <c:pt idx="2" formatCode="0%">
                  <c:v>0.97</c:v>
                </c:pt>
                <c:pt idx="3" formatCode="0%">
                  <c:v>0.91</c:v>
                </c:pt>
                <c:pt idx="4">
                  <c:v>0.91679999999999995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F0-48B1-8397-AD52514F4731}"/>
            </c:ext>
          </c:extLst>
        </c:ser>
        <c:ser>
          <c:idx val="17"/>
          <c:order val="17"/>
          <c:tx>
            <c:strRef>
              <c:f>'PC2.01_Ind02'!$B$29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'PC2.01_Ind02'!$D$29:$H$29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 formatCode="0.00%">
                  <c:v>0.996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F0-48B1-8397-AD52514F4731}"/>
            </c:ext>
          </c:extLst>
        </c:ser>
        <c:ser>
          <c:idx val="18"/>
          <c:order val="18"/>
          <c:tx>
            <c:strRef>
              <c:f>'PC2.01_Ind02'!$B$30</c:f>
              <c:strCache>
                <c:ptCount val="1"/>
                <c:pt idx="0">
                  <c:v>Paleobiologia i Registre Fòssil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'PC2.01_Ind02'!$D$30:$H$30</c:f>
              <c:numCache>
                <c:formatCode>0.00%</c:formatCode>
                <c:ptCount val="5"/>
                <c:pt idx="0">
                  <c:v>0.94199999999999995</c:v>
                </c:pt>
                <c:pt idx="1">
                  <c:v>0.94399999999999995</c:v>
                </c:pt>
                <c:pt idx="2">
                  <c:v>0.92400000000000004</c:v>
                </c:pt>
                <c:pt idx="3">
                  <c:v>0.95499999999999996</c:v>
                </c:pt>
                <c:pt idx="4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F0-48B1-8397-AD52514F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9863264"/>
        <c:axId val="866636144"/>
      </c:barChart>
      <c:lineChart>
        <c:grouping val="standard"/>
        <c:varyColors val="0"/>
        <c:ser>
          <c:idx val="19"/>
          <c:order val="19"/>
          <c:tx>
            <c:strRef>
              <c:f>'PC2.01_Ind02'!$B$33:$C$33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'PC2.01_Ind02'!$D$33:$H$33</c:f>
              <c:numCache>
                <c:formatCode>0%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7F0-48B1-8397-AD52514F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863264"/>
        <c:axId val="866636144"/>
      </c:lineChart>
      <c:catAx>
        <c:axId val="5798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66636144"/>
        <c:crosses val="autoZero"/>
        <c:auto val="1"/>
        <c:lblAlgn val="ctr"/>
        <c:lblOffset val="100"/>
        <c:noMultiLvlLbl val="0"/>
      </c:catAx>
      <c:valAx>
        <c:axId val="86663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798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PC2.01_Ind03. Valoració mitjana a l’afirmació “Fins ara s’ha seguit la programació de l’assignatura que s’explica a la guia docent dels Graus</a:t>
            </a:r>
            <a:r>
              <a:rPr lang="ca-ES" sz="1800" b="1">
                <a:effectLst/>
              </a:rPr>
              <a:t>”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'PC2.01_Ind03'!$B$26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'PC2.01_Ind03'!$C$26:$E$26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70A-4C70-B56E-1CD4E428EF13}"/>
            </c:ext>
          </c:extLst>
        </c:ser>
        <c:ser>
          <c:idx val="1"/>
          <c:order val="1"/>
          <c:tx>
            <c:strRef>
              <c:f>'PC2.01_Ind03'!$B$13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'PC2.01_Ind03'!$D$13:$H$13</c:f>
              <c:numCache>
                <c:formatCode>General</c:formatCode>
                <c:ptCount val="5"/>
                <c:pt idx="0" formatCode="0.00">
                  <c:v>3.28</c:v>
                </c:pt>
                <c:pt idx="1">
                  <c:v>3.42</c:v>
                </c:pt>
                <c:pt idx="2" formatCode="0.00">
                  <c:v>3.2450000000000001</c:v>
                </c:pt>
                <c:pt idx="3">
                  <c:v>3.42</c:v>
                </c:pt>
                <c:pt idx="4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A-4C70-B56E-1CD4E428EF13}"/>
            </c:ext>
          </c:extLst>
        </c:ser>
        <c:ser>
          <c:idx val="2"/>
          <c:order val="2"/>
          <c:tx>
            <c:strRef>
              <c:f>'PC2.01_Ind03'!$B$14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'PC2.01_Ind03'!$D$14:$H$14</c:f>
              <c:numCache>
                <c:formatCode>General</c:formatCode>
                <c:ptCount val="5"/>
                <c:pt idx="0" formatCode="0.00">
                  <c:v>3.24</c:v>
                </c:pt>
                <c:pt idx="1">
                  <c:v>3.32</c:v>
                </c:pt>
                <c:pt idx="2" formatCode="0.00">
                  <c:v>3.16</c:v>
                </c:pt>
                <c:pt idx="3">
                  <c:v>3.36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A-4C70-B56E-1CD4E428EF13}"/>
            </c:ext>
          </c:extLst>
        </c:ser>
        <c:ser>
          <c:idx val="3"/>
          <c:order val="3"/>
          <c:tx>
            <c:strRef>
              <c:f>'PC2.01_Ind03'!$B$15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'PC2.01_Ind03'!$D$15:$H$15</c:f>
              <c:numCache>
                <c:formatCode>General</c:formatCode>
                <c:ptCount val="5"/>
                <c:pt idx="0" formatCode="0.00">
                  <c:v>3.1749999999999998</c:v>
                </c:pt>
                <c:pt idx="1">
                  <c:v>3.16</c:v>
                </c:pt>
                <c:pt idx="2" formatCode="0.00">
                  <c:v>3.1799999999999997</c:v>
                </c:pt>
                <c:pt idx="3">
                  <c:v>3.03</c:v>
                </c:pt>
                <c:pt idx="4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A-4C70-B56E-1CD4E428EF13}"/>
            </c:ext>
          </c:extLst>
        </c:ser>
        <c:ser>
          <c:idx val="4"/>
          <c:order val="4"/>
          <c:tx>
            <c:strRef>
              <c:f>'PC2.01_Ind03'!$B$16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'PC2.01_Ind03'!$D$16:$H$16</c:f>
              <c:numCache>
                <c:formatCode>General</c:formatCode>
                <c:ptCount val="5"/>
                <c:pt idx="0" formatCode="0.00">
                  <c:v>3.4349999999999996</c:v>
                </c:pt>
                <c:pt idx="1">
                  <c:v>3.49</c:v>
                </c:pt>
                <c:pt idx="2" formatCode="0.00">
                  <c:v>3.492</c:v>
                </c:pt>
                <c:pt idx="3">
                  <c:v>3.55</c:v>
                </c:pt>
                <c:pt idx="4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A-4C70-B56E-1CD4E428EF13}"/>
            </c:ext>
          </c:extLst>
        </c:ser>
        <c:ser>
          <c:idx val="5"/>
          <c:order val="5"/>
          <c:tx>
            <c:strRef>
              <c:f>'PC2.01_Ind03'!$B$17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'PC2.01_Ind03'!$D$17:$H$17</c:f>
              <c:numCache>
                <c:formatCode>General</c:formatCode>
                <c:ptCount val="5"/>
                <c:pt idx="0" formatCode="0.00">
                  <c:v>0</c:v>
                </c:pt>
                <c:pt idx="1">
                  <c:v>3.65</c:v>
                </c:pt>
                <c:pt idx="2" formatCode="0.00">
                  <c:v>3.6150000000000002</c:v>
                </c:pt>
                <c:pt idx="3">
                  <c:v>0</c:v>
                </c:pt>
                <c:pt idx="4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0A-4C70-B56E-1CD4E428EF13}"/>
            </c:ext>
          </c:extLst>
        </c:ser>
        <c:ser>
          <c:idx val="6"/>
          <c:order val="6"/>
          <c:tx>
            <c:strRef>
              <c:f>'PC2.01_Ind03'!$B$18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'PC2.01_Ind03'!$D$18:$H$18</c:f>
              <c:numCache>
                <c:formatCode>General</c:formatCode>
                <c:ptCount val="5"/>
                <c:pt idx="0" formatCode="0.00">
                  <c:v>3.4449999999999998</c:v>
                </c:pt>
                <c:pt idx="1">
                  <c:v>3.51</c:v>
                </c:pt>
                <c:pt idx="2" formatCode="0.00">
                  <c:v>3.69</c:v>
                </c:pt>
                <c:pt idx="3">
                  <c:v>3.55</c:v>
                </c:pt>
                <c:pt idx="4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0A-4C70-B56E-1CD4E428EF13}"/>
            </c:ext>
          </c:extLst>
        </c:ser>
        <c:ser>
          <c:idx val="7"/>
          <c:order val="7"/>
          <c:tx>
            <c:strRef>
              <c:f>'PC2.01_Ind03'!$B$19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'PC2.01_Ind03'!$D$19:$H$19</c:f>
              <c:numCache>
                <c:formatCode>General</c:formatCode>
                <c:ptCount val="5"/>
                <c:pt idx="0" formatCode="0.00">
                  <c:v>3.42</c:v>
                </c:pt>
                <c:pt idx="1">
                  <c:v>3.51</c:v>
                </c:pt>
                <c:pt idx="2" formatCode="0.00">
                  <c:v>3.415</c:v>
                </c:pt>
                <c:pt idx="3">
                  <c:v>3.53</c:v>
                </c:pt>
                <c:pt idx="4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0A-4C70-B56E-1CD4E428EF13}"/>
            </c:ext>
          </c:extLst>
        </c:ser>
        <c:ser>
          <c:idx val="8"/>
          <c:order val="8"/>
          <c:tx>
            <c:strRef>
              <c:f>'PC2.01_Ind03'!$B$20</c:f>
              <c:strCache>
                <c:ptCount val="1"/>
                <c:pt idx="0">
                  <c:v>Nanociència i Nanotecnologia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'PC2.01_Ind03'!$D$20:$H$20</c:f>
              <c:numCache>
                <c:formatCode>0.00</c:formatCode>
                <c:ptCount val="5"/>
                <c:pt idx="0">
                  <c:v>3.44</c:v>
                </c:pt>
                <c:pt idx="1">
                  <c:v>3.43</c:v>
                </c:pt>
                <c:pt idx="2">
                  <c:v>3.4000000000000004</c:v>
                </c:pt>
                <c:pt idx="3">
                  <c:v>4</c:v>
                </c:pt>
                <c:pt idx="4">
                  <c:v>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0A-4C70-B56E-1CD4E428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0138800"/>
        <c:axId val="1519073792"/>
      </c:barChart>
      <c:lineChart>
        <c:grouping val="standard"/>
        <c:varyColors val="0"/>
        <c:ser>
          <c:idx val="9"/>
          <c:order val="9"/>
          <c:tx>
            <c:strRef>
              <c:f>'PC2.01_Ind03'!$B$23</c:f>
              <c:strCache>
                <c:ptCount val="1"/>
                <c:pt idx="0">
                  <c:v>Valor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'PC2.01_Ind03'!$D$23:$H$23</c:f>
              <c:str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strCache>
            </c:strRef>
          </c:cat>
          <c:val>
            <c:numRef>
              <c:f>'PC2.01_Ind03'!$D$23:$H$23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0A-4C70-B56E-1CD4E428E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38800"/>
        <c:axId val="1519073792"/>
      </c:lineChart>
      <c:catAx>
        <c:axId val="13901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19073792"/>
        <c:crosses val="autoZero"/>
        <c:auto val="1"/>
        <c:lblAlgn val="ctr"/>
        <c:lblOffset val="100"/>
        <c:noMultiLvlLbl val="0"/>
      </c:catAx>
      <c:valAx>
        <c:axId val="15190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13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600" b="1">
                <a:effectLst/>
              </a:rPr>
              <a:t>PC2.01_Ind04. Valoració mitjana a l’afirmació “Fins ara s’ha seguit la programació de l’assignatura que s’explica a la guia docent dels Màsters”</a:t>
            </a:r>
            <a:endParaRPr lang="ca-E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'PC2.01_Ind04'!$B$13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'PC2.01_Ind04'!$D$13:$I$13</c:f>
              <c:numCache>
                <c:formatCode>General</c:formatCode>
                <c:ptCount val="6"/>
                <c:pt idx="0" formatCode="0.00">
                  <c:v>3.5449999999999999</c:v>
                </c:pt>
                <c:pt idx="1">
                  <c:v>3.3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3.89</c:v>
                </c:pt>
                <c:pt idx="5" formatCode="0.00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1-480C-B200-F0E14CB6A073}"/>
            </c:ext>
          </c:extLst>
        </c:ser>
        <c:ser>
          <c:idx val="1"/>
          <c:order val="1"/>
          <c:tx>
            <c:strRef>
              <c:f>'PC2.01_Ind04'!$B$14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'PC2.01_Ind04'!$D$14:$I$14</c:f>
              <c:numCache>
                <c:formatCode>General</c:formatCode>
                <c:ptCount val="6"/>
                <c:pt idx="0" formatCode="0.00">
                  <c:v>3.2199999999999998</c:v>
                </c:pt>
                <c:pt idx="1">
                  <c:v>3.47</c:v>
                </c:pt>
                <c:pt idx="2" formatCode="0.00">
                  <c:v>3.64</c:v>
                </c:pt>
                <c:pt idx="3" formatCode="0.00">
                  <c:v>3.64</c:v>
                </c:pt>
                <c:pt idx="4" formatCode="0.00">
                  <c:v>3.83</c:v>
                </c:pt>
                <c:pt idx="5" formatCode="0.0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1-480C-B200-F0E14CB6A073}"/>
            </c:ext>
          </c:extLst>
        </c:ser>
        <c:ser>
          <c:idx val="2"/>
          <c:order val="2"/>
          <c:tx>
            <c:strRef>
              <c:f>'PC2.01_Ind04'!$B$15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'PC2.01_Ind04'!$D$15:$I$15</c:f>
              <c:numCache>
                <c:formatCode>General</c:formatCode>
                <c:ptCount val="6"/>
                <c:pt idx="0" formatCode="0.00">
                  <c:v>4</c:v>
                </c:pt>
                <c:pt idx="1">
                  <c:v>3.61</c:v>
                </c:pt>
                <c:pt idx="2" formatCode="0.00">
                  <c:v>3.76</c:v>
                </c:pt>
                <c:pt idx="3" formatCode="0.00">
                  <c:v>3.875</c:v>
                </c:pt>
                <c:pt idx="4" formatCode="0.00">
                  <c:v>3.72</c:v>
                </c:pt>
                <c:pt idx="5" formatCode="0.00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1-480C-B200-F0E14CB6A073}"/>
            </c:ext>
          </c:extLst>
        </c:ser>
        <c:ser>
          <c:idx val="3"/>
          <c:order val="3"/>
          <c:tx>
            <c:strRef>
              <c:f>'PC2.01_Ind04'!$B$17</c:f>
              <c:strCache>
                <c:ptCount val="1"/>
                <c:pt idx="0">
                  <c:v>Nanociència i Nanotecnologia avançades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'PC2.01_Ind04'!$D$17:$I$17</c:f>
              <c:numCache>
                <c:formatCode>General</c:formatCode>
                <c:ptCount val="6"/>
                <c:pt idx="0" formatCode="0.00">
                  <c:v>0</c:v>
                </c:pt>
                <c:pt idx="1">
                  <c:v>3.5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3.05</c:v>
                </c:pt>
                <c:pt idx="5" formatCode="0.00">
                  <c:v>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31-480C-B200-F0E14CB6A073}"/>
            </c:ext>
          </c:extLst>
        </c:ser>
        <c:ser>
          <c:idx val="4"/>
          <c:order val="4"/>
          <c:tx>
            <c:strRef>
              <c:f>'PC2.01_Ind04'!$B$18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'PC2.01_Ind04'!$D$18:$I$18</c:f>
              <c:numCache>
                <c:formatCode>General</c:formatCode>
                <c:ptCount val="6"/>
                <c:pt idx="0" formatCode="0.00">
                  <c:v>0</c:v>
                </c:pt>
                <c:pt idx="1">
                  <c:v>3.38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31-480C-B200-F0E14CB6A073}"/>
            </c:ext>
          </c:extLst>
        </c:ser>
        <c:ser>
          <c:idx val="5"/>
          <c:order val="5"/>
          <c:tx>
            <c:strRef>
              <c:f>'PC2.01_Ind04'!$B$19</c:f>
              <c:strCache>
                <c:ptCount val="1"/>
                <c:pt idx="0">
                  <c:v>Paleobiologia i Registre Fòssil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'PC2.01_Ind04'!$D$19:$I$19</c:f>
              <c:numCache>
                <c:formatCode>General</c:formatCode>
                <c:ptCount val="6"/>
                <c:pt idx="0" formatCode="0.00">
                  <c:v>2.5</c:v>
                </c:pt>
                <c:pt idx="1">
                  <c:v>3.44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31-480C-B200-F0E14CB6A073}"/>
            </c:ext>
          </c:extLst>
        </c:ser>
        <c:ser>
          <c:idx val="7"/>
          <c:order val="7"/>
          <c:tx>
            <c:strRef>
              <c:f>'PC2.01_Ind04'!$C$12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31-480C-B200-F0E14CB6A073}"/>
            </c:ext>
          </c:extLst>
        </c:ser>
        <c:ser>
          <c:idx val="8"/>
          <c:order val="8"/>
          <c:tx>
            <c:strRef>
              <c:f>'PC2.01_Ind04'!$B$16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'PC2.01_Ind04'!$D$16:$I$16</c:f>
              <c:numCache>
                <c:formatCode>General</c:formatCode>
                <c:ptCount val="6"/>
                <c:pt idx="0" formatCode="0.00">
                  <c:v>3.21</c:v>
                </c:pt>
                <c:pt idx="1">
                  <c:v>3.52</c:v>
                </c:pt>
                <c:pt idx="2" formatCode="0.00">
                  <c:v>3.39</c:v>
                </c:pt>
                <c:pt idx="3" formatCode="0.00">
                  <c:v>2.86</c:v>
                </c:pt>
                <c:pt idx="4" formatCode="0.00">
                  <c:v>0</c:v>
                </c:pt>
                <c:pt idx="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31-480C-B200-F0E14CB6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0671392"/>
        <c:axId val="1583835376"/>
      </c:barChart>
      <c:lineChart>
        <c:grouping val="standard"/>
        <c:varyColors val="0"/>
        <c:ser>
          <c:idx val="6"/>
          <c:order val="6"/>
          <c:tx>
            <c:strRef>
              <c:f>'PC2.01_Ind04'!$B$22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'PC2.01_Ind04'!$D$12:$H$12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'PC2.01_Ind04'!$D$22:$H$22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31-480C-B200-F0E14CB6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671392"/>
        <c:axId val="1583835376"/>
      </c:lineChart>
      <c:catAx>
        <c:axId val="15206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83835376"/>
        <c:crosses val="autoZero"/>
        <c:auto val="1"/>
        <c:lblAlgn val="ctr"/>
        <c:lblOffset val="100"/>
        <c:noMultiLvlLbl val="0"/>
      </c:catAx>
      <c:valAx>
        <c:axId val="158383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2067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PE1.01_Ind02.  Percentatge de propostes de millora implementades </a:t>
            </a:r>
            <a:r>
              <a:rPr lang="es-ES" sz="1200" b="1" i="0" u="none" strike="sngStrike" baseline="0">
                <a:effectLst/>
              </a:rPr>
              <a:t>,</a:t>
            </a:r>
            <a:r>
              <a:rPr lang="es-ES" sz="1200" b="1" i="0" u="none" strike="noStrike" baseline="0">
                <a:effectLst/>
              </a:rPr>
              <a:t> per curs acadèmic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'PE1.01_Ind02'!$B$12:$C$12</c:f>
              <c:strCache>
                <c:ptCount val="2"/>
                <c:pt idx="0">
                  <c:v>Valor real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'PE1.01_Ind02'!$D$11:$I$11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'PE1.01_Ind02'!$D$12:$I$12</c:f>
              <c:numCache>
                <c:formatCode>0%</c:formatCode>
                <c:ptCount val="6"/>
                <c:pt idx="0" formatCode="0.00%">
                  <c:v>0.41830000000000001</c:v>
                </c:pt>
                <c:pt idx="1">
                  <c:v>0.11</c:v>
                </c:pt>
                <c:pt idx="2" formatCode="0.00%">
                  <c:v>0.87629999999999997</c:v>
                </c:pt>
                <c:pt idx="3">
                  <c:v>0.8</c:v>
                </c:pt>
                <c:pt idx="4">
                  <c:v>0.94020000000000004</c:v>
                </c:pt>
                <c:pt idx="5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6-47F3-B998-1B4BF00E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9502592"/>
        <c:axId val="1289896992"/>
      </c:barChart>
      <c:lineChart>
        <c:grouping val="standard"/>
        <c:varyColors val="0"/>
        <c:ser>
          <c:idx val="1"/>
          <c:order val="1"/>
          <c:tx>
            <c:strRef>
              <c:f>'PE1.01_Ind02'!$B$13:$C$13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'PE1.01_Ind02'!$D$11:$I$11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'PE1.01_Ind02'!$D$13:$I$13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6-47F3-B998-1B4BF00E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502592"/>
        <c:axId val="1289896992"/>
      </c:lineChart>
      <c:catAx>
        <c:axId val="14995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9896992"/>
        <c:crosses val="autoZero"/>
        <c:auto val="1"/>
        <c:lblAlgn val="ctr"/>
        <c:lblOffset val="100"/>
        <c:noMultiLvlLbl val="0"/>
      </c:catAx>
      <c:valAx>
        <c:axId val="12898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95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Evolució de les assignatures en anglès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5.3472440944881891E-2"/>
          <c:y val="7.407407407407407E-2"/>
          <c:w val="0.902083114610673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'PC2.01_Ind05'!$A$12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E-42F9-AFB0-6934DD49898B}"/>
            </c:ext>
          </c:extLst>
        </c:ser>
        <c:ser>
          <c:idx val="1"/>
          <c:order val="1"/>
          <c:tx>
            <c:strRef>
              <c:f>'PC2.01_Ind05'!$A$13</c:f>
              <c:strCache>
                <c:ptCount val="1"/>
                <c:pt idx="0">
                  <c:v>Estudis Interdisciplinaris en Sostenibilitat Ambiental, Econòmica i Social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'PC2.01_Ind05'!$B$13:$F$13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92E-42F9-AFB0-6934DD49898B}"/>
            </c:ext>
          </c:extLst>
        </c:ser>
        <c:ser>
          <c:idx val="2"/>
          <c:order val="2"/>
          <c:tx>
            <c:strRef>
              <c:f>'PC2.01_Ind05'!$A$14</c:f>
              <c:strCache>
                <c:ptCount val="1"/>
                <c:pt idx="0">
                  <c:v>Física d’Altes Energies, Astrofísica i Cosmologia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'PC2.01_Ind05'!$B$14:$F$14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92E-42F9-AFB0-6934DD49898B}"/>
            </c:ext>
          </c:extLst>
        </c:ser>
        <c:ser>
          <c:idx val="3"/>
          <c:order val="3"/>
          <c:tx>
            <c:strRef>
              <c:f>'PC2.01_Ind05'!$A$15</c:f>
              <c:strCache>
                <c:ptCount val="1"/>
                <c:pt idx="0">
                  <c:v>Història de la Ciència; Ciència, Història i Societat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'PC2.01_Ind05'!$B$15:$E$15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C92E-42F9-AFB0-6934DD49898B}"/>
            </c:ext>
          </c:extLst>
        </c:ser>
        <c:ser>
          <c:idx val="4"/>
          <c:order val="4"/>
          <c:tx>
            <c:strRef>
              <c:f>'PC2.01_Ind05'!$A$16</c:f>
              <c:strCache>
                <c:ptCount val="1"/>
                <c:pt idx="0">
                  <c:v>Modelització per a la Ciència i la Enginyeria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'PC2.01_Ind05'!$B$16:$F$16</c:f>
              <c:numCache>
                <c:formatCode>General</c:formatCode>
                <c:ptCount val="5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C92E-42F9-AFB0-6934DD49898B}"/>
            </c:ext>
          </c:extLst>
        </c:ser>
        <c:ser>
          <c:idx val="5"/>
          <c:order val="5"/>
          <c:tx>
            <c:strRef>
              <c:f>'PC2.01_Ind05'!$A$17</c:f>
              <c:strCache>
                <c:ptCount val="1"/>
                <c:pt idx="0">
                  <c:v>Nanociència i Nanotecnologia Avançades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'PC2.01_Ind05'!$B$17:$F$17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C92E-42F9-AFB0-6934DD49898B}"/>
            </c:ext>
          </c:extLst>
        </c:ser>
        <c:ser>
          <c:idx val="6"/>
          <c:order val="6"/>
          <c:tx>
            <c:strRef>
              <c:f>'PC2.01_Ind05'!$A$18</c:f>
              <c:strCache>
                <c:ptCount val="1"/>
                <c:pt idx="0">
                  <c:v>Paleobiologia i Registre Fòssil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'PC2.01_Ind05'!$B$18:$E$18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92E-42F9-AFB0-6934DD49898B}"/>
            </c:ext>
          </c:extLst>
        </c:ser>
        <c:ser>
          <c:idx val="7"/>
          <c:order val="7"/>
          <c:tx>
            <c:strRef>
              <c:f>'PC2.01_Ind05'!$A$19</c:f>
              <c:strCache>
                <c:ptCount val="1"/>
                <c:pt idx="0">
                  <c:v>Química Industrial i Introducció a la Recerca 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'PC2.01_Ind05'!$B$12:$F$12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'PC2.01_Ind05'!$B$19:$F$19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C92E-42F9-AFB0-6934DD498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5948207"/>
        <c:axId val="646241247"/>
        <c:extLst/>
      </c:barChart>
      <c:lineChart>
        <c:grouping val="standard"/>
        <c:varyColors val="0"/>
        <c:ser>
          <c:idx val="8"/>
          <c:order val="8"/>
          <c:tx>
            <c:strRef>
              <c:f>'PC2.01_Ind05'!$A$23</c:f>
              <c:strCache>
                <c:ptCount val="1"/>
                <c:pt idx="0">
                  <c:v>Objectiu Augmentar 5%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'PC2.01_Ind05'!$B$12:$E$12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'PC2.01_Ind05'!$B$23:$E$23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2E-42F9-AFB0-6934DD498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48207"/>
        <c:axId val="646241247"/>
      </c:lineChart>
      <c:catAx>
        <c:axId val="995948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6241247"/>
        <c:crosses val="autoZero"/>
        <c:auto val="1"/>
        <c:lblAlgn val="ctr"/>
        <c:lblOffset val="100"/>
        <c:noMultiLvlLbl val="0"/>
      </c:catAx>
      <c:valAx>
        <c:axId val="64624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9594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66662378665473"/>
          <c:y val="1.8220586748264602E-3"/>
          <c:w val="0.29107372601133064"/>
          <c:h val="0.36940116153822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PC2.02_Ind01.</a:t>
            </a:r>
            <a:r>
              <a:rPr lang="ca-ES" sz="1200">
                <a:effectLst/>
              </a:rPr>
              <a:t> </a:t>
            </a:r>
            <a:r>
              <a:rPr lang="ca-ES" sz="1200" b="1">
                <a:effectLst/>
              </a:rPr>
              <a:t>Grau de satisfacció dels/de les estudiants amb el TFE, segons les enquestes d’avaluació corresponents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'PC2.02_Ind01'!$B$12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'PC2.02_Ind01'!$D$12:$H$12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E-408E-BB8A-8532D7696CC7}"/>
            </c:ext>
          </c:extLst>
        </c:ser>
        <c:ser>
          <c:idx val="1"/>
          <c:order val="1"/>
          <c:tx>
            <c:strRef>
              <c:f>'PC2.02_Ind01'!$B$13</c:f>
              <c:strCache>
                <c:ptCount val="1"/>
                <c:pt idx="0">
                  <c:v>Valoració mitjana a l’afirmació “El treball de fi d’estudis m’ha estat útil per consolidar les competències de la titulació”
Objectiu ≥ 3 sobre 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00E-408E-BB8A-8532D7696C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00E-408E-BB8A-8532D7696C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00E-408E-BB8A-8532D7696CC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00E-408E-BB8A-8532D7696CC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00E-408E-BB8A-8532D7696CC7}"/>
              </c:ext>
            </c:extLst>
          </c:dPt>
          <c:cat>
            <c:strRef>
              <c:f>'PC2.02_Ind01'!$D$12:$H$12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'PC2.02_Ind01'!$D$13:$H$13</c:f>
              <c:numCache>
                <c:formatCode>0.00</c:formatCode>
                <c:ptCount val="5"/>
                <c:pt idx="0">
                  <c:v>3.9</c:v>
                </c:pt>
                <c:pt idx="1">
                  <c:v>3.95</c:v>
                </c:pt>
                <c:pt idx="2">
                  <c:v>3.91</c:v>
                </c:pt>
                <c:pt idx="3">
                  <c:v>3.7</c:v>
                </c:pt>
                <c:pt idx="4" formatCode="General">
                  <c:v>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E-408E-BB8A-8532D7696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9667296"/>
        <c:axId val="1265994160"/>
      </c:barChart>
      <c:lineChart>
        <c:grouping val="standard"/>
        <c:varyColors val="0"/>
        <c:ser>
          <c:idx val="2"/>
          <c:order val="2"/>
          <c:tx>
            <c:strRef>
              <c:f>'PC2.02_Ind01'!$B$16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'PC2.02_Ind01'!$D$16:$H$16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E-408E-BB8A-8532D7696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67296"/>
        <c:axId val="1265994160"/>
      </c:lineChart>
      <c:catAx>
        <c:axId val="14996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994160"/>
        <c:crosses val="autoZero"/>
        <c:auto val="1"/>
        <c:lblAlgn val="ctr"/>
        <c:lblOffset val="100"/>
        <c:noMultiLvlLbl val="0"/>
      </c:catAx>
      <c:valAx>
        <c:axId val="126599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96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900" b="1">
                <a:effectLst/>
              </a:rPr>
              <a:t>PC2.03_Ind01. Nombre mínim d’entitats col·laboradores en el marc de PE, per curs acadèmic i titulació de grau</a:t>
            </a:r>
            <a:endParaRPr lang="ca-ES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'PC2.03_Ind01'!$C$12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9-48CD-A5F0-94ECB8BE4B1E}"/>
            </c:ext>
          </c:extLst>
        </c:ser>
        <c:ser>
          <c:idx val="1"/>
          <c:order val="1"/>
          <c:tx>
            <c:strRef>
              <c:f>'PC2.03_Ind01'!$B$13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'PC2.03_Ind01'!$D$13:$I$13</c:f>
              <c:numCache>
                <c:formatCode>General</c:formatCode>
                <c:ptCount val="6"/>
                <c:pt idx="0">
                  <c:v>41</c:v>
                </c:pt>
                <c:pt idx="1">
                  <c:v>40</c:v>
                </c:pt>
                <c:pt idx="2">
                  <c:v>27</c:v>
                </c:pt>
                <c:pt idx="3">
                  <c:v>34</c:v>
                </c:pt>
                <c:pt idx="4">
                  <c:v>32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9-48CD-A5F0-94ECB8BE4B1E}"/>
            </c:ext>
          </c:extLst>
        </c:ser>
        <c:ser>
          <c:idx val="2"/>
          <c:order val="2"/>
          <c:tx>
            <c:strRef>
              <c:f>'PC2.03_Ind01'!$B$14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'PC2.03_Ind01'!$D$14:$I$14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13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9-48CD-A5F0-94ECB8BE4B1E}"/>
            </c:ext>
          </c:extLst>
        </c:ser>
        <c:ser>
          <c:idx val="3"/>
          <c:order val="3"/>
          <c:tx>
            <c:strRef>
              <c:f>'PC2.03_Ind01'!$B$15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'PC2.03_Ind01'!$D$15:$I$15</c:f>
              <c:numCache>
                <c:formatCode>General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17</c:v>
                </c:pt>
                <c:pt idx="3">
                  <c:v>29</c:v>
                </c:pt>
                <c:pt idx="4">
                  <c:v>25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9-48CD-A5F0-94ECB8BE4B1E}"/>
            </c:ext>
          </c:extLst>
        </c:ser>
        <c:ser>
          <c:idx val="4"/>
          <c:order val="4"/>
          <c:tx>
            <c:strRef>
              <c:f>'PC2.03_Ind01'!$B$16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'PC2.03_Ind01'!$D$16:$I$16</c:f>
              <c:numCache>
                <c:formatCode>General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24</c:v>
                </c:pt>
                <c:pt idx="3">
                  <c:v>28</c:v>
                </c:pt>
                <c:pt idx="4">
                  <c:v>26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9-48CD-A5F0-94ECB8BE4B1E}"/>
            </c:ext>
          </c:extLst>
        </c:ser>
        <c:ser>
          <c:idx val="5"/>
          <c:order val="5"/>
          <c:tx>
            <c:strRef>
              <c:f>'PC2.03_Ind01'!$B$17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'PC2.03_Ind01'!$D$17:$I$17</c:f>
              <c:numCache>
                <c:formatCode>General</c:formatCode>
                <c:ptCount val="6"/>
                <c:pt idx="0">
                  <c:v>26</c:v>
                </c:pt>
                <c:pt idx="1">
                  <c:v>29</c:v>
                </c:pt>
                <c:pt idx="2">
                  <c:v>20</c:v>
                </c:pt>
                <c:pt idx="3">
                  <c:v>30</c:v>
                </c:pt>
                <c:pt idx="4">
                  <c:v>37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9-48CD-A5F0-94ECB8BE4B1E}"/>
            </c:ext>
          </c:extLst>
        </c:ser>
        <c:ser>
          <c:idx val="6"/>
          <c:order val="6"/>
          <c:tx>
            <c:strRef>
              <c:f>'PC2.03_Ind01'!$B$18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'PC2.03_Ind01'!$D$18:$I$18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59-48CD-A5F0-94ECB8BE4B1E}"/>
            </c:ext>
          </c:extLst>
        </c:ser>
        <c:ser>
          <c:idx val="7"/>
          <c:order val="7"/>
          <c:tx>
            <c:strRef>
              <c:f>'PC2.03_Ind01'!$B$19</c:f>
              <c:strCache>
                <c:ptCount val="1"/>
                <c:pt idx="0">
                  <c:v>Nanociència i Nanotecnologia  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'PC2.03_Ind01'!$D$19:$I$19</c:f>
              <c:numCache>
                <c:formatCode>General</c:formatCode>
                <c:ptCount val="6"/>
                <c:pt idx="0">
                  <c:v>47</c:v>
                </c:pt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59-48CD-A5F0-94ECB8BE4B1E}"/>
            </c:ext>
          </c:extLst>
        </c:ser>
        <c:ser>
          <c:idx val="8"/>
          <c:order val="8"/>
          <c:tx>
            <c:strRef>
              <c:f>'PC2.03_Ind01'!$B$20</c:f>
              <c:strCache>
                <c:ptCount val="1"/>
                <c:pt idx="0">
                  <c:v>Química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'PC2.03_Ind01'!$D$20:$I$20</c:f>
              <c:numCache>
                <c:formatCode>General</c:formatCode>
                <c:ptCount val="6"/>
                <c:pt idx="0">
                  <c:v>38</c:v>
                </c:pt>
                <c:pt idx="1">
                  <c:v>40</c:v>
                </c:pt>
                <c:pt idx="2">
                  <c:v>24</c:v>
                </c:pt>
                <c:pt idx="3">
                  <c:v>31</c:v>
                </c:pt>
                <c:pt idx="4">
                  <c:v>32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59-48CD-A5F0-94ECB8BE4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63723168"/>
        <c:axId val="1722346640"/>
      </c:barChart>
      <c:catAx>
        <c:axId val="20637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22346640"/>
        <c:crosses val="autoZero"/>
        <c:auto val="1"/>
        <c:lblAlgn val="ctr"/>
        <c:lblOffset val="100"/>
        <c:noMultiLvlLbl val="0"/>
      </c:catAx>
      <c:valAx>
        <c:axId val="172234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372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rgbClr val="FFFFFF">
                    <a:lumMod val="95000"/>
                  </a:srgb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PC2.03_Ind01. Nombre mínim d’entitats col·laboradores en el marc de PE, per curs acadèmic i titulació de grau</a:t>
            </a:r>
            <a:endParaRPr lang="ca-E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FFFFFF">
                    <a:lumMod val="95000"/>
                  </a:srgbClr>
                </a:solidFill>
              </a:defRPr>
            </a:pP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rgbClr val="FFFFFF">
                  <a:lumMod val="95000"/>
                </a:srgb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'PC2.03_Ind02'!$B$29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'PC2.03_Ind02'!$C$29:$E$29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41B-421A-A395-B0E4A08FF12B}"/>
            </c:ext>
          </c:extLst>
        </c:ser>
        <c:ser>
          <c:idx val="1"/>
          <c:order val="1"/>
          <c:tx>
            <c:strRef>
              <c:f>'PC2.03_Ind02'!$C$12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B-421A-A395-B0E4A08FF12B}"/>
            </c:ext>
          </c:extLst>
        </c:ser>
        <c:ser>
          <c:idx val="2"/>
          <c:order val="2"/>
          <c:tx>
            <c:strRef>
              <c:f>'PC2.03_Ind02'!$B$13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4.4000000000000004</c:v>
                </c:pt>
                <c:pt idx="3">
                  <c:v>3</c:v>
                </c:pt>
                <c:pt idx="4">
                  <c:v>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B-421A-A395-B0E4A08FF12B}"/>
            </c:ext>
          </c:extLst>
        </c:ser>
        <c:ser>
          <c:idx val="3"/>
          <c:order val="3"/>
          <c:tx>
            <c:strRef>
              <c:f>'PC2.03_Ind02'!$B$15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'PC2.03_Ind02'!$D$15:$H$15</c:f>
              <c:numCache>
                <c:formatCode>General</c:formatCode>
                <c:ptCount val="5"/>
                <c:pt idx="0">
                  <c:v>0</c:v>
                </c:pt>
                <c:pt idx="1">
                  <c:v>4.33</c:v>
                </c:pt>
                <c:pt idx="2">
                  <c:v>4</c:v>
                </c:pt>
                <c:pt idx="3">
                  <c:v>3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B-421A-A395-B0E4A08FF12B}"/>
            </c:ext>
          </c:extLst>
        </c:ser>
        <c:ser>
          <c:idx val="4"/>
          <c:order val="4"/>
          <c:tx>
            <c:strRef>
              <c:f>'PC2.03_Ind02'!$B$16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'PC2.03_Ind02'!$D$16:$H$16</c:f>
              <c:numCache>
                <c:formatCode>General</c:formatCode>
                <c:ptCount val="5"/>
                <c:pt idx="0">
                  <c:v>3.22</c:v>
                </c:pt>
                <c:pt idx="1">
                  <c:v>3.35</c:v>
                </c:pt>
                <c:pt idx="2">
                  <c:v>3.58</c:v>
                </c:pt>
                <c:pt idx="3">
                  <c:v>2.83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B-421A-A395-B0E4A08FF12B}"/>
            </c:ext>
          </c:extLst>
        </c:ser>
        <c:ser>
          <c:idx val="5"/>
          <c:order val="5"/>
          <c:tx>
            <c:strRef>
              <c:f>'PC2.03_Ind02'!$B$17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1B-421A-A395-B0E4A08FF12B}"/>
            </c:ext>
          </c:extLst>
        </c:ser>
        <c:ser>
          <c:idx val="6"/>
          <c:order val="6"/>
          <c:tx>
            <c:strRef>
              <c:f>'PC2.03_Ind02'!$B$18</c:f>
              <c:strCache>
                <c:ptCount val="1"/>
                <c:pt idx="0">
                  <c:v>Física+Matemàtiques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'PC2.03_Ind02'!$D$18:$H$18</c:f>
              <c:numCache>
                <c:formatCode>General</c:formatCode>
                <c:ptCount val="5"/>
                <c:pt idx="0">
                  <c:v>2.71</c:v>
                </c:pt>
                <c:pt idx="1">
                  <c:v>3.33</c:v>
                </c:pt>
                <c:pt idx="2">
                  <c:v>0</c:v>
                </c:pt>
                <c:pt idx="3">
                  <c:v>2</c:v>
                </c:pt>
                <c:pt idx="4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1B-421A-A395-B0E4A08FF12B}"/>
            </c:ext>
          </c:extLst>
        </c:ser>
        <c:ser>
          <c:idx val="7"/>
          <c:order val="7"/>
          <c:tx>
            <c:strRef>
              <c:f>'PC2.03_Ind02'!$B$19</c:f>
              <c:strCache>
                <c:ptCount val="1"/>
                <c:pt idx="0">
                  <c:v>Física+Química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'PC2.03_Ind02'!$D$19:$H$19</c:f>
              <c:numCache>
                <c:formatCode>General</c:formatCode>
                <c:ptCount val="5"/>
                <c:pt idx="0">
                  <c:v>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1B-421A-A395-B0E4A08FF12B}"/>
            </c:ext>
          </c:extLst>
        </c:ser>
        <c:ser>
          <c:idx val="8"/>
          <c:order val="8"/>
          <c:tx>
            <c:strRef>
              <c:f>'PC2.03_Ind02'!$B$20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'PC2.03_Ind02'!$D$20:$H$20</c:f>
              <c:numCache>
                <c:formatCode>General</c:formatCode>
                <c:ptCount val="5"/>
                <c:pt idx="0">
                  <c:v>3.7</c:v>
                </c:pt>
                <c:pt idx="1">
                  <c:v>2.09</c:v>
                </c:pt>
                <c:pt idx="2">
                  <c:v>2.91</c:v>
                </c:pt>
                <c:pt idx="3">
                  <c:v>2.5</c:v>
                </c:pt>
                <c:pt idx="4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1B-421A-A395-B0E4A08FF12B}"/>
            </c:ext>
          </c:extLst>
        </c:ser>
        <c:ser>
          <c:idx val="9"/>
          <c:order val="9"/>
          <c:tx>
            <c:strRef>
              <c:f>'PC2.03_Ind02'!$B$21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'PC2.03_Ind02'!$D$21:$H$21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1B-421A-A395-B0E4A08FF12B}"/>
            </c:ext>
          </c:extLst>
        </c:ser>
        <c:ser>
          <c:idx val="10"/>
          <c:order val="10"/>
          <c:tx>
            <c:strRef>
              <c:f>'PC2.03_Ind02'!$B$22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'PC2.03_Ind02'!$D$22:$H$22</c:f>
              <c:numCache>
                <c:formatCode>General</c:formatCode>
                <c:ptCount val="5"/>
                <c:pt idx="0">
                  <c:v>3.4</c:v>
                </c:pt>
                <c:pt idx="1">
                  <c:v>4.22</c:v>
                </c:pt>
                <c:pt idx="2">
                  <c:v>4.1500000000000004</c:v>
                </c:pt>
                <c:pt idx="3">
                  <c:v>2</c:v>
                </c:pt>
                <c:pt idx="4">
                  <c:v>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1B-421A-A395-B0E4A08FF12B}"/>
            </c:ext>
          </c:extLst>
        </c:ser>
        <c:ser>
          <c:idx val="11"/>
          <c:order val="11"/>
          <c:tx>
            <c:strRef>
              <c:f>'PC2.03_Ind02'!$B$23</c:f>
              <c:strCache>
                <c:ptCount val="1"/>
                <c:pt idx="0">
                  <c:v>Nanociència i Nanotecnologia  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'PC2.03_Ind02'!$D$12:$H$12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'PC2.03_Ind02'!$D$23:$H$23</c:f>
              <c:numCache>
                <c:formatCode>General</c:formatCode>
                <c:ptCount val="5"/>
                <c:pt idx="0">
                  <c:v>3.48</c:v>
                </c:pt>
                <c:pt idx="1">
                  <c:v>2.62</c:v>
                </c:pt>
                <c:pt idx="2">
                  <c:v>3</c:v>
                </c:pt>
                <c:pt idx="3">
                  <c:v>2.25</c:v>
                </c:pt>
                <c:pt idx="4">
                  <c:v>4.2699999999999996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1B-421A-A395-B0E4A08FF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4746032"/>
        <c:axId val="2033922208"/>
      </c:barChart>
      <c:catAx>
        <c:axId val="205474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33922208"/>
        <c:crosses val="autoZero"/>
        <c:auto val="1"/>
        <c:lblAlgn val="ctr"/>
        <c:lblOffset val="100"/>
        <c:noMultiLvlLbl val="0"/>
      </c:catAx>
      <c:valAx>
        <c:axId val="20339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474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>
                <a:effectLst/>
              </a:rPr>
              <a:t>PC2.04_Ind01. Nombre de Comissions de Docència realitzades per curs i titulació.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'PC2.04_Ind01'!$B$38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'PC2.04_Ind01'!$C$38:$E$38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A5D-4405-9B8F-E52580434009}"/>
            </c:ext>
          </c:extLst>
        </c:ser>
        <c:ser>
          <c:idx val="1"/>
          <c:order val="1"/>
          <c:tx>
            <c:strRef>
              <c:f>'PC2.04_Ind01'!$C$11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'PC2.04_Ind01'!$D$11:$H$11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D-4405-9B8F-E52580434009}"/>
            </c:ext>
          </c:extLst>
        </c:ser>
        <c:ser>
          <c:idx val="2"/>
          <c:order val="2"/>
          <c:tx>
            <c:strRef>
              <c:f>'PC2.04_Ind01'!$B$12</c:f>
              <c:strCache>
                <c:ptCount val="1"/>
                <c:pt idx="0">
                  <c:v>Química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'PC2.04_Ind01'!$D$12:$I$12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D-4405-9B8F-E52580434009}"/>
            </c:ext>
          </c:extLst>
        </c:ser>
        <c:ser>
          <c:idx val="3"/>
          <c:order val="3"/>
          <c:tx>
            <c:strRef>
              <c:f>'PC2.04_Ind01'!$B$13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'PC2.04_Ind01'!$D$13:$I$13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5D-4405-9B8F-E52580434009}"/>
            </c:ext>
          </c:extLst>
        </c:ser>
        <c:ser>
          <c:idx val="4"/>
          <c:order val="4"/>
          <c:tx>
            <c:strRef>
              <c:f>'PC2.04_Ind01'!$B$14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'PC2.04_Ind01'!$D$14:$I$14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5D-4405-9B8F-E52580434009}"/>
            </c:ext>
          </c:extLst>
        </c:ser>
        <c:ser>
          <c:idx val="5"/>
          <c:order val="5"/>
          <c:tx>
            <c:strRef>
              <c:f>'PC2.04_Ind01'!$B$15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'PC2.04_Ind01'!$D$15:$I$15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5D-4405-9B8F-E52580434009}"/>
            </c:ext>
          </c:extLst>
        </c:ser>
        <c:ser>
          <c:idx val="6"/>
          <c:order val="6"/>
          <c:tx>
            <c:strRef>
              <c:f>'PC2.04_Ind01'!$B$16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'PC2.04_Ind01'!$D$16:$I$16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5D-4405-9B8F-E52580434009}"/>
            </c:ext>
          </c:extLst>
        </c:ser>
        <c:ser>
          <c:idx val="7"/>
          <c:order val="7"/>
          <c:tx>
            <c:strRef>
              <c:f>'PC2.04_Ind01'!$B$17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'PC2.04_Ind01'!$D$17:$I$17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5D-4405-9B8F-E52580434009}"/>
            </c:ext>
          </c:extLst>
        </c:ser>
        <c:ser>
          <c:idx val="8"/>
          <c:order val="8"/>
          <c:tx>
            <c:strRef>
              <c:f>'PC2.04_Ind01'!$B$18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'PC2.04_Ind01'!$D$18:$I$18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5D-4405-9B8F-E52580434009}"/>
            </c:ext>
          </c:extLst>
        </c:ser>
        <c:ser>
          <c:idx val="9"/>
          <c:order val="9"/>
          <c:tx>
            <c:strRef>
              <c:f>'PC2.04_Ind01'!$B$19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'PC2.04_Ind01'!$D$19:$I$19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5D-4405-9B8F-E52580434009}"/>
            </c:ext>
          </c:extLst>
        </c:ser>
        <c:ser>
          <c:idx val="10"/>
          <c:order val="10"/>
          <c:tx>
            <c:strRef>
              <c:f>'PC2.04_Ind01'!$B$20</c:f>
              <c:strCache>
                <c:ptCount val="1"/>
                <c:pt idx="0">
                  <c:v>Ciències Ambientals i 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'PC2.04_Ind01'!$D$20:$I$20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D-4405-9B8F-E52580434009}"/>
            </c:ext>
          </c:extLst>
        </c:ser>
        <c:ser>
          <c:idx val="11"/>
          <c:order val="11"/>
          <c:tx>
            <c:strRef>
              <c:f>'PC2.04_Ind01'!$B$21</c:f>
              <c:strCache>
                <c:ptCount val="1"/>
                <c:pt idx="0">
                  <c:v> Matemàtica Computacional i Anàlisi de Dades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'PC2.04_Ind01'!$D$21:$I$21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5D-4405-9B8F-E52580434009}"/>
            </c:ext>
          </c:extLst>
        </c:ser>
        <c:ser>
          <c:idx val="12"/>
          <c:order val="12"/>
          <c:tx>
            <c:strRef>
              <c:f>'PC2.04_Ind01'!$B$22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'PC2.04_Ind01'!$D$22:$I$22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5D-4405-9B8F-E52580434009}"/>
            </c:ext>
          </c:extLst>
        </c:ser>
        <c:ser>
          <c:idx val="13"/>
          <c:order val="13"/>
          <c:tx>
            <c:strRef>
              <c:f>'PC2.04_Ind01'!$B$23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'PC2.04_Ind01'!$D$23:$I$23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5D-4405-9B8F-E52580434009}"/>
            </c:ext>
          </c:extLst>
        </c:ser>
        <c:ser>
          <c:idx val="14"/>
          <c:order val="14"/>
          <c:tx>
            <c:strRef>
              <c:f>'PC2.04_Ind01'!$B$25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'PC2.04_Ind01'!$D$25:$I$25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5D-4405-9B8F-E52580434009}"/>
            </c:ext>
          </c:extLst>
        </c:ser>
        <c:ser>
          <c:idx val="15"/>
          <c:order val="15"/>
          <c:tx>
            <c:strRef>
              <c:f>'PC2.04_Ind01'!$B$26</c:f>
              <c:strCache>
                <c:ptCount val="1"/>
                <c:pt idx="0">
                  <c:v>Nanociència i Nanotecnologia avançade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'PC2.04_Ind01'!$D$26:$I$26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5D-4405-9B8F-E52580434009}"/>
            </c:ext>
          </c:extLst>
        </c:ser>
        <c:ser>
          <c:idx val="16"/>
          <c:order val="16"/>
          <c:tx>
            <c:strRef>
              <c:f>'PC2.04_Ind01'!$B$27</c:f>
              <c:strCache>
                <c:ptCount val="1"/>
                <c:pt idx="0">
                  <c:v>Estudis interdisciplinars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'PC2.04_Ind01'!$D$27:$I$27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5D-4405-9B8F-E52580434009}"/>
            </c:ext>
          </c:extLst>
        </c:ser>
        <c:ser>
          <c:idx val="17"/>
          <c:order val="17"/>
          <c:tx>
            <c:strRef>
              <c:f>'PC2.04_Ind01'!$B$28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'PC2.04_Ind01'!$D$28:$I$28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5D-4405-9B8F-E52580434009}"/>
            </c:ext>
          </c:extLst>
        </c:ser>
        <c:ser>
          <c:idx val="18"/>
          <c:order val="18"/>
          <c:tx>
            <c:strRef>
              <c:f>'PC2.04_Ind01'!$B$29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'PC2.04_Ind01'!$D$29:$I$29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A5D-4405-9B8F-E5258043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1633296"/>
        <c:axId val="1354707760"/>
      </c:barChart>
      <c:lineChart>
        <c:grouping val="standard"/>
        <c:varyColors val="0"/>
        <c:ser>
          <c:idx val="19"/>
          <c:order val="19"/>
          <c:tx>
            <c:strRef>
              <c:f>'PC2.04_Ind01'!$B$32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'PC2.04_Ind01'!$D$32:$H$32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A5D-4405-9B8F-E5258043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633296"/>
        <c:axId val="1354707760"/>
      </c:lineChart>
      <c:catAx>
        <c:axId val="200163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4707760"/>
        <c:crosses val="autoZero"/>
        <c:auto val="1"/>
        <c:lblAlgn val="ctr"/>
        <c:lblOffset val="100"/>
        <c:noMultiLvlLbl val="0"/>
      </c:catAx>
      <c:valAx>
        <c:axId val="13547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0163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PC2.04_Ind02. Taxa d’abandonament a primer curs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'PC2.04_Ind02'!$B$13</c:f>
              <c:strCache>
                <c:ptCount val="1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'PC2.04_Ind02'!$D$13:$I$13</c:f>
              <c:numCache>
                <c:formatCode>0%</c:formatCode>
                <c:ptCount val="6"/>
                <c:pt idx="0">
                  <c:v>0.1</c:v>
                </c:pt>
                <c:pt idx="1">
                  <c:v>0.16</c:v>
                </c:pt>
                <c:pt idx="2">
                  <c:v>0.06</c:v>
                </c:pt>
                <c:pt idx="3">
                  <c:v>0.21</c:v>
                </c:pt>
                <c:pt idx="4" formatCode="0.00%">
                  <c:v>0</c:v>
                </c:pt>
                <c:pt idx="5" formatCode="General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1FD-4596-AEDF-3EA71B1E7AE2}"/>
            </c:ext>
          </c:extLst>
        </c:ser>
        <c:ser>
          <c:idx val="2"/>
          <c:order val="2"/>
          <c:tx>
            <c:strRef>
              <c:f>'PC2.04_Ind02'!$B$14</c:f>
              <c:strCache>
                <c:ptCount val="1"/>
                <c:pt idx="0">
                  <c:v>Ciències Ambientals i Grau en 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'PC2.04_Ind02'!$D$14:$I$14</c:f>
              <c:numCache>
                <c:formatCode>General</c:formatCode>
                <c:ptCount val="6"/>
                <c:pt idx="0" formatCode="0%">
                  <c:v>0.15</c:v>
                </c:pt>
                <c:pt idx="1">
                  <c:v>0</c:v>
                </c:pt>
                <c:pt idx="2" formatCode="0%">
                  <c:v>0</c:v>
                </c:pt>
                <c:pt idx="3" formatCode="0%">
                  <c:v>0.2</c:v>
                </c:pt>
                <c:pt idx="4" formatCode="0.00%">
                  <c:v>0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1FD-4596-AEDF-3EA71B1E7AE2}"/>
            </c:ext>
          </c:extLst>
        </c:ser>
        <c:ser>
          <c:idx val="4"/>
          <c:order val="4"/>
          <c:tx>
            <c:strRef>
              <c:f>'PC2.04_Ind02'!$B$16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'PC2.04_Ind02'!$D$16:$I$16</c:f>
              <c:numCache>
                <c:formatCode>0%</c:formatCode>
                <c:ptCount val="6"/>
                <c:pt idx="0">
                  <c:v>0.18</c:v>
                </c:pt>
                <c:pt idx="1">
                  <c:v>0.06</c:v>
                </c:pt>
                <c:pt idx="2">
                  <c:v>0.15</c:v>
                </c:pt>
                <c:pt idx="3">
                  <c:v>0.05</c:v>
                </c:pt>
                <c:pt idx="4" formatCode="0.00%">
                  <c:v>0</c:v>
                </c:pt>
                <c:pt idx="5" formatCode="0.00%">
                  <c:v>0.1053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D-4596-AEDF-3EA71B1E7AE2}"/>
            </c:ext>
          </c:extLst>
        </c:ser>
        <c:ser>
          <c:idx val="5"/>
          <c:order val="5"/>
          <c:tx>
            <c:strRef>
              <c:f>'PC2.04_Ind02'!$B$17</c:f>
              <c:strCache>
                <c:ptCount val="1"/>
                <c:pt idx="0">
                  <c:v>Física i 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'PC2.04_Ind02'!$D$17:$I$17</c:f>
              <c:numCache>
                <c:formatCode>0%</c:formatCode>
                <c:ptCount val="6"/>
                <c:pt idx="0">
                  <c:v>0</c:v>
                </c:pt>
                <c:pt idx="1">
                  <c:v>0.09</c:v>
                </c:pt>
                <c:pt idx="2">
                  <c:v>0.05</c:v>
                </c:pt>
                <c:pt idx="3">
                  <c:v>0.05</c:v>
                </c:pt>
                <c:pt idx="4" formatCode="0.00%">
                  <c:v>0</c:v>
                </c:pt>
                <c:pt idx="5" formatCode="0.00%">
                  <c:v>9.0899999999999995E-2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61FD-4596-AEDF-3EA71B1E7AE2}"/>
            </c:ext>
          </c:extLst>
        </c:ser>
        <c:ser>
          <c:idx val="6"/>
          <c:order val="6"/>
          <c:tx>
            <c:strRef>
              <c:f>'PC2.04_Ind02'!$B$18</c:f>
              <c:strCache>
                <c:ptCount val="1"/>
                <c:pt idx="0">
                  <c:v>Física i 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'PC2.04_Ind02'!$D$18:$I$18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0.14000000000000001</c:v>
                </c:pt>
                <c:pt idx="4" formatCode="0.00%">
                  <c:v>0</c:v>
                </c:pt>
                <c:pt idx="5" formatCode="0.00%">
                  <c:v>9.5200000000000007E-2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61FD-4596-AEDF-3EA71B1E7AE2}"/>
            </c:ext>
          </c:extLst>
        </c:ser>
        <c:ser>
          <c:idx val="7"/>
          <c:order val="7"/>
          <c:tx>
            <c:strRef>
              <c:f>'PC2.04_Ind02'!$B$19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'PC2.04_Ind02'!$D$19:$I$19</c:f>
              <c:numCache>
                <c:formatCode>0%</c:formatCode>
                <c:ptCount val="6"/>
                <c:pt idx="0">
                  <c:v>0.33</c:v>
                </c:pt>
                <c:pt idx="1">
                  <c:v>0.34</c:v>
                </c:pt>
                <c:pt idx="2">
                  <c:v>0.4</c:v>
                </c:pt>
                <c:pt idx="3">
                  <c:v>0.38</c:v>
                </c:pt>
                <c:pt idx="4" formatCode="0.00%">
                  <c:v>0</c:v>
                </c:pt>
                <c:pt idx="5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D-4596-AEDF-3EA71B1E7AE2}"/>
            </c:ext>
          </c:extLst>
        </c:ser>
        <c:ser>
          <c:idx val="8"/>
          <c:order val="8"/>
          <c:tx>
            <c:strRef>
              <c:f>'PC2.04_Ind02'!$B$20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'PC2.04_Ind02'!$D$20:$I$20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0.24</c:v>
                </c:pt>
                <c:pt idx="2">
                  <c:v>0.12</c:v>
                </c:pt>
                <c:pt idx="3">
                  <c:v>0.06</c:v>
                </c:pt>
                <c:pt idx="4" formatCode="0.00%">
                  <c:v>0</c:v>
                </c:pt>
                <c:pt idx="5" formatCode="0.00%">
                  <c:v>0.21429999999999999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D-4596-AEDF-3EA71B1E7AE2}"/>
            </c:ext>
          </c:extLst>
        </c:ser>
        <c:ser>
          <c:idx val="9"/>
          <c:order val="9"/>
          <c:tx>
            <c:strRef>
              <c:f>'PC2.04_Ind02'!$B$21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'PC2.04_Ind02'!$D$21:$I$21</c:f>
              <c:numCache>
                <c:formatCode>0%</c:formatCode>
                <c:ptCount val="6"/>
                <c:pt idx="0">
                  <c:v>0.25</c:v>
                </c:pt>
                <c:pt idx="1">
                  <c:v>0.12</c:v>
                </c:pt>
                <c:pt idx="2">
                  <c:v>0.21</c:v>
                </c:pt>
                <c:pt idx="3">
                  <c:v>0.12</c:v>
                </c:pt>
                <c:pt idx="4" formatCode="0.00%">
                  <c:v>0</c:v>
                </c:pt>
                <c:pt idx="5" formatCode="0.00%">
                  <c:v>0.20630000000000001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D-4596-AEDF-3EA71B1E7AE2}"/>
            </c:ext>
          </c:extLst>
        </c:ser>
        <c:ser>
          <c:idx val="10"/>
          <c:order val="10"/>
          <c:tx>
            <c:strRef>
              <c:f>'PC2.04_Ind02'!$B$22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'PC2.04_Ind02'!$D$22:$I$22</c:f>
              <c:numCache>
                <c:formatCode>0%</c:formatCode>
                <c:ptCount val="6"/>
                <c:pt idx="0">
                  <c:v>0.13</c:v>
                </c:pt>
                <c:pt idx="1">
                  <c:v>0.23</c:v>
                </c:pt>
                <c:pt idx="2">
                  <c:v>0.13</c:v>
                </c:pt>
                <c:pt idx="3">
                  <c:v>0.18</c:v>
                </c:pt>
                <c:pt idx="4" formatCode="0.00%">
                  <c:v>0</c:v>
                </c:pt>
                <c:pt idx="5" formatCode="0.00%">
                  <c:v>0.18459999999999999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D-4596-AEDF-3EA71B1E7AE2}"/>
            </c:ext>
          </c:extLst>
        </c:ser>
        <c:ser>
          <c:idx val="11"/>
          <c:order val="11"/>
          <c:tx>
            <c:strRef>
              <c:f>'PC2.04_Ind02'!$B$23</c:f>
              <c:strCache>
                <c:ptCount val="1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'PC2.04_Ind02'!$D$23:$I$23</c:f>
              <c:numCache>
                <c:formatCode>0%</c:formatCode>
                <c:ptCount val="6"/>
                <c:pt idx="0">
                  <c:v>0.18</c:v>
                </c:pt>
                <c:pt idx="1">
                  <c:v>0.12</c:v>
                </c:pt>
                <c:pt idx="2">
                  <c:v>0.21</c:v>
                </c:pt>
                <c:pt idx="3">
                  <c:v>0.18</c:v>
                </c:pt>
                <c:pt idx="4" formatCode="0.00%">
                  <c:v>0</c:v>
                </c:pt>
                <c:pt idx="5" formatCode="0.00%">
                  <c:v>0.15970000000000001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61FD-4596-AEDF-3EA71B1E7AE2}"/>
            </c:ext>
          </c:extLst>
        </c:ser>
        <c:ser>
          <c:idx val="13"/>
          <c:order val="13"/>
          <c:tx>
            <c:strRef>
              <c:f>'PC2.04_Ind02'!$B$24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'PC2.04_Ind02'!$D$24:$I$24</c:f>
              <c:numCache>
                <c:formatCode>0%</c:formatCode>
                <c:ptCount val="6"/>
                <c:pt idx="0">
                  <c:v>0</c:v>
                </c:pt>
                <c:pt idx="1">
                  <c:v>7.0000000000000007E-2</c:v>
                </c:pt>
                <c:pt idx="2">
                  <c:v>0</c:v>
                </c:pt>
                <c:pt idx="3">
                  <c:v>0.04</c:v>
                </c:pt>
                <c:pt idx="4" formatCode="0.00%">
                  <c:v>0</c:v>
                </c:pt>
                <c:pt idx="5" formatCode="0.00%">
                  <c:v>1.9199999999999998E-2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FD-4596-AEDF-3EA71B1E7AE2}"/>
            </c:ext>
          </c:extLst>
        </c:ser>
        <c:ser>
          <c:idx val="14"/>
          <c:order val="14"/>
          <c:tx>
            <c:strRef>
              <c:f>'PC2.04_Ind02'!$B$25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'PC2.04_Ind02'!$D$25:$I$25</c:f>
              <c:numCache>
                <c:formatCode>0%</c:formatCode>
                <c:ptCount val="6"/>
                <c:pt idx="0">
                  <c:v>0</c:v>
                </c:pt>
                <c:pt idx="1">
                  <c:v>0.15</c:v>
                </c:pt>
                <c:pt idx="2">
                  <c:v>0.1</c:v>
                </c:pt>
                <c:pt idx="3">
                  <c:v>0.06</c:v>
                </c:pt>
                <c:pt idx="4" formatCode="0.00%">
                  <c:v>0</c:v>
                </c:pt>
                <c:pt idx="5" formatCode="0.00%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FD-4596-AEDF-3EA71B1E7AE2}"/>
            </c:ext>
          </c:extLst>
        </c:ser>
        <c:ser>
          <c:idx val="15"/>
          <c:order val="15"/>
          <c:tx>
            <c:strRef>
              <c:f>'PC2.04_Ind02'!$B$26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'PC2.04_Ind02'!$D$26:$I$26</c:f>
              <c:numCache>
                <c:formatCode>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0.06</c:v>
                </c:pt>
                <c:pt idx="3">
                  <c:v>7.0000000000000007E-2</c:v>
                </c:pt>
                <c:pt idx="4" formatCode="0.00%">
                  <c:v>0</c:v>
                </c:pt>
                <c:pt idx="5" formatCode="0.00%">
                  <c:v>5.5599999999999997E-2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FD-4596-AEDF-3EA71B1E7AE2}"/>
            </c:ext>
          </c:extLst>
        </c:ser>
        <c:ser>
          <c:idx val="16"/>
          <c:order val="16"/>
          <c:tx>
            <c:strRef>
              <c:f>'PC2.04_Ind02'!$B$27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'PC2.04_Ind02'!$D$27:$I$27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0.03</c:v>
                </c:pt>
                <c:pt idx="4" formatCode="0.00%">
                  <c:v>0</c:v>
                </c:pt>
                <c:pt idx="5" formatCode="0.00%">
                  <c:v>2.3800000000000002E-2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1FD-4596-AEDF-3EA71B1E7AE2}"/>
            </c:ext>
          </c:extLst>
        </c:ser>
        <c:ser>
          <c:idx val="17"/>
          <c:order val="17"/>
          <c:tx>
            <c:strRef>
              <c:f>'PC2.04_Ind02'!$B$28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'PC2.04_Ind02'!$D$28:$I$28</c:f>
              <c:numCache>
                <c:formatCode>0%</c:formatCode>
                <c:ptCount val="6"/>
                <c:pt idx="0">
                  <c:v>0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0.09</c:v>
                </c:pt>
                <c:pt idx="4" formatCode="0.00%">
                  <c:v>0</c:v>
                </c:pt>
                <c:pt idx="5" formatCode="0.00%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1FD-4596-AEDF-3EA71B1E7AE2}"/>
            </c:ext>
          </c:extLst>
        </c:ser>
        <c:ser>
          <c:idx val="18"/>
          <c:order val="18"/>
          <c:tx>
            <c:strRef>
              <c:f>'PC2.04_Ind02'!$B$29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'PC2.04_Ind02'!$D$29:$I$29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FD-4596-AEDF-3EA71B1E7AE2}"/>
            </c:ext>
          </c:extLst>
        </c:ser>
        <c:ser>
          <c:idx val="19"/>
          <c:order val="19"/>
          <c:tx>
            <c:strRef>
              <c:f>'PC2.04_Ind02'!$B$30</c:f>
              <c:strCache>
                <c:ptCount val="1"/>
                <c:pt idx="0">
                  <c:v>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'PC2.04_Ind02'!$D$30:$I$30</c:f>
              <c:numCache>
                <c:formatCode>0%</c:formatCode>
                <c:ptCount val="6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 formatCode="0.00%">
                  <c:v>0</c:v>
                </c:pt>
                <c:pt idx="5" formatCode="0.00%">
                  <c:v>5.1299999999999998E-2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1FD-4596-AEDF-3EA71B1E7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692607"/>
        <c:axId val="19027046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'PC2.04_Ind02'!$D$12:$I$12</c15:sqref>
                        </c15:formulaRef>
                      </c:ext>
                    </c:extLst>
                    <c:strCache>
                      <c:ptCount val="6"/>
                      <c:pt idx="0">
                        <c:v>2017/2018</c:v>
                      </c:pt>
                      <c:pt idx="1">
                        <c:v>2018/2019</c:v>
                      </c:pt>
                      <c:pt idx="2">
                        <c:v>2019/2020</c:v>
                      </c:pt>
                      <c:pt idx="3">
                        <c:v>2020/2021</c:v>
                      </c:pt>
                      <c:pt idx="4">
                        <c:v>2021/2022</c:v>
                      </c:pt>
                      <c:pt idx="5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'PC2.04_Ind02'!$H$4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1FD-4596-AEDF-3EA71B1E7AE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'PC2.04_Ind02'!$D$15</c15:sqref>
                        </c15:formulaRef>
                      </c:ext>
                    </c:extLst>
                    <c:strCache>
                      <c:ptCount val="1"/>
                      <c:pt idx="0">
                        <c:v>26%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'PC2.04_Ind02'!$D$12:$I$12</c15:sqref>
                        </c15:formulaRef>
                      </c:ext>
                    </c:extLst>
                    <c:strCache>
                      <c:ptCount val="6"/>
                      <c:pt idx="0">
                        <c:v>2017/2018</c:v>
                      </c:pt>
                      <c:pt idx="1">
                        <c:v>2018/2019</c:v>
                      </c:pt>
                      <c:pt idx="2">
                        <c:v>2019/2020</c:v>
                      </c:pt>
                      <c:pt idx="3">
                        <c:v>2020/2021</c:v>
                      </c:pt>
                      <c:pt idx="4">
                        <c:v>2021/2022</c:v>
                      </c:pt>
                      <c:pt idx="5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'PC2.04_Ind02'!$D$15:$G$15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 formatCode="0%">
                        <c:v>0.26</c:v>
                      </c:pt>
                      <c:pt idx="1">
                        <c:v>0</c:v>
                      </c:pt>
                      <c:pt idx="2" formatCode="0%">
                        <c:v>0.22</c:v>
                      </c:pt>
                      <c:pt idx="3" formatCode="0%">
                        <c:v>0.28000000000000003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1FD-4596-AEDF-3EA71B1E7AE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12"/>
          <c:tx>
            <c:strRef>
              <c:f>'PC2.04_Ind02'!$B$33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'PC2.04_Ind02'!$D$33:$I$33</c:f>
              <c:numCache>
                <c:formatCode>0%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FD-4596-AEDF-3EA71B1E7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692607"/>
        <c:axId val="1902704671"/>
      </c:lineChart>
      <c:catAx>
        <c:axId val="190269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2704671"/>
        <c:crosses val="autoZero"/>
        <c:auto val="1"/>
        <c:lblAlgn val="ctr"/>
        <c:lblOffset val="100"/>
        <c:noMultiLvlLbl val="0"/>
      </c:catAx>
      <c:valAx>
        <c:axId val="190270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269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>
                <a:effectLst/>
              </a:rPr>
              <a:t>PC2.04_Ind03. Taxa d’eficiència per titulació.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'PC2.04_Ind03'!$B$35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'PC2.04_Ind03'!$C$35:$E$35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86-4344-90F5-016A009C5EF4}"/>
            </c:ext>
          </c:extLst>
        </c:ser>
        <c:ser>
          <c:idx val="1"/>
          <c:order val="1"/>
          <c:tx>
            <c:strRef>
              <c:f>'PC2.04_Ind03'!$C$12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344-90F5-016A009C5EF4}"/>
            </c:ext>
          </c:extLst>
        </c:ser>
        <c:ser>
          <c:idx val="2"/>
          <c:order val="2"/>
          <c:tx>
            <c:strRef>
              <c:f>'PC2.04_Ind03'!$B$13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'PC2.04_Ind03'!$D$13:$H$13</c:f>
              <c:numCache>
                <c:formatCode>0%</c:formatCode>
                <c:ptCount val="5"/>
                <c:pt idx="0">
                  <c:v>0.95</c:v>
                </c:pt>
                <c:pt idx="1">
                  <c:v>0.93</c:v>
                </c:pt>
                <c:pt idx="2">
                  <c:v>0.97</c:v>
                </c:pt>
                <c:pt idx="3">
                  <c:v>0.93</c:v>
                </c:pt>
                <c:pt idx="4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344-90F5-016A009C5EF4}"/>
            </c:ext>
          </c:extLst>
        </c:ser>
        <c:ser>
          <c:idx val="3"/>
          <c:order val="3"/>
          <c:tx>
            <c:strRef>
              <c:f>'PC2.04_Ind03'!$B$14</c:f>
              <c:strCache>
                <c:ptCount val="1"/>
                <c:pt idx="0">
                  <c:v>Ciències Ambientals i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'PC2.04_Ind03'!$D$14:$H$14</c:f>
              <c:numCache>
                <c:formatCode>0%</c:formatCode>
                <c:ptCount val="5"/>
                <c:pt idx="0">
                  <c:v>0.99</c:v>
                </c:pt>
                <c:pt idx="1">
                  <c:v>0.95</c:v>
                </c:pt>
                <c:pt idx="2">
                  <c:v>0.96</c:v>
                </c:pt>
                <c:pt idx="3">
                  <c:v>0.94</c:v>
                </c:pt>
                <c:pt idx="4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344-90F5-016A009C5EF4}"/>
            </c:ext>
          </c:extLst>
        </c:ser>
        <c:ser>
          <c:idx val="4"/>
          <c:order val="4"/>
          <c:tx>
            <c:strRef>
              <c:f>'PC2.04_Ind03'!#REF!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6-4344-90F5-016A009C5EF4}"/>
            </c:ext>
          </c:extLst>
        </c:ser>
        <c:ser>
          <c:idx val="5"/>
          <c:order val="5"/>
          <c:tx>
            <c:strRef>
              <c:f>'PC2.04_Ind03'!$B$16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'PC2.04_Ind03'!$D$16:$H$16</c:f>
              <c:numCache>
                <c:formatCode>0%</c:formatCode>
                <c:ptCount val="5"/>
                <c:pt idx="0">
                  <c:v>0.91</c:v>
                </c:pt>
                <c:pt idx="1">
                  <c:v>0.91</c:v>
                </c:pt>
                <c:pt idx="2">
                  <c:v>0.89</c:v>
                </c:pt>
                <c:pt idx="3">
                  <c:v>0.87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86-4344-90F5-016A009C5EF4}"/>
            </c:ext>
          </c:extLst>
        </c:ser>
        <c:ser>
          <c:idx val="6"/>
          <c:order val="6"/>
          <c:tx>
            <c:strRef>
              <c:f>'PC2.04_Ind03'!$B$17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'PC2.04_Ind03'!$D$17:$I$17</c:f>
              <c:numCache>
                <c:formatCode>0%</c:formatCode>
                <c:ptCount val="6"/>
                <c:pt idx="0">
                  <c:v>1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0.98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86-4344-90F5-016A009C5EF4}"/>
            </c:ext>
          </c:extLst>
        </c:ser>
        <c:ser>
          <c:idx val="7"/>
          <c:order val="7"/>
          <c:tx>
            <c:strRef>
              <c:f>'PC2.04_Ind03'!$B$18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'PC2.04_Ind03'!$D$18:$H$18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0.95</c:v>
                </c:pt>
                <c:pt idx="2">
                  <c:v>0.97</c:v>
                </c:pt>
                <c:pt idx="3">
                  <c:v>0.95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86-4344-90F5-016A009C5EF4}"/>
            </c:ext>
          </c:extLst>
        </c:ser>
        <c:ser>
          <c:idx val="8"/>
          <c:order val="8"/>
          <c:tx>
            <c:strRef>
              <c:f>'PC2.04_Ind03'!$B$19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'PC2.04_Ind03'!$D$19:$I$19</c:f>
              <c:numCache>
                <c:formatCode>0%</c:formatCode>
                <c:ptCount val="6"/>
                <c:pt idx="0">
                  <c:v>0.88</c:v>
                </c:pt>
                <c:pt idx="1">
                  <c:v>0.86</c:v>
                </c:pt>
                <c:pt idx="2">
                  <c:v>0.87</c:v>
                </c:pt>
                <c:pt idx="3">
                  <c:v>0.84</c:v>
                </c:pt>
                <c:pt idx="4">
                  <c:v>0.81</c:v>
                </c:pt>
                <c:pt idx="5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86-4344-90F5-016A009C5EF4}"/>
            </c:ext>
          </c:extLst>
        </c:ser>
        <c:ser>
          <c:idx val="9"/>
          <c:order val="9"/>
          <c:tx>
            <c:strRef>
              <c:f>'PC2.04_Ind03'!$B$20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'PC2.04_Ind03'!$D$20:$I$20</c:f>
              <c:numCache>
                <c:formatCode>0%</c:formatCode>
                <c:ptCount val="6"/>
                <c:pt idx="0">
                  <c:v>0.81</c:v>
                </c:pt>
                <c:pt idx="1">
                  <c:v>0.84</c:v>
                </c:pt>
                <c:pt idx="2">
                  <c:v>0.84</c:v>
                </c:pt>
                <c:pt idx="3">
                  <c:v>0.83</c:v>
                </c:pt>
                <c:pt idx="4">
                  <c:v>0.84</c:v>
                </c:pt>
                <c:pt idx="5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86-4344-90F5-016A009C5EF4}"/>
            </c:ext>
          </c:extLst>
        </c:ser>
        <c:ser>
          <c:idx val="10"/>
          <c:order val="10"/>
          <c:tx>
            <c:strRef>
              <c:f>'PC2.04_Ind03'!$B$21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'PC2.04_Ind03'!$D$21:$I$21</c:f>
              <c:numCache>
                <c:formatCode>0%</c:formatCode>
                <c:ptCount val="6"/>
                <c:pt idx="0">
                  <c:v>0.94</c:v>
                </c:pt>
                <c:pt idx="1">
                  <c:v>0.93</c:v>
                </c:pt>
                <c:pt idx="2">
                  <c:v>0.93</c:v>
                </c:pt>
                <c:pt idx="3">
                  <c:v>0.92</c:v>
                </c:pt>
                <c:pt idx="4">
                  <c:v>0.92</c:v>
                </c:pt>
                <c:pt idx="5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86-4344-90F5-016A009C5EF4}"/>
            </c:ext>
          </c:extLst>
        </c:ser>
        <c:ser>
          <c:idx val="11"/>
          <c:order val="11"/>
          <c:tx>
            <c:strRef>
              <c:f>'PC2.04_Ind03'!$B$22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'PC2.04_Ind03'!$D$22:$I$22</c:f>
              <c:numCache>
                <c:formatCode>0%</c:formatCode>
                <c:ptCount val="6"/>
                <c:pt idx="0">
                  <c:v>0.91</c:v>
                </c:pt>
                <c:pt idx="1">
                  <c:v>0.87</c:v>
                </c:pt>
                <c:pt idx="2">
                  <c:v>0.88</c:v>
                </c:pt>
                <c:pt idx="3">
                  <c:v>0.87</c:v>
                </c:pt>
                <c:pt idx="4">
                  <c:v>0.86</c:v>
                </c:pt>
                <c:pt idx="5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86-4344-90F5-016A009C5EF4}"/>
            </c:ext>
          </c:extLst>
        </c:ser>
        <c:ser>
          <c:idx val="12"/>
          <c:order val="12"/>
          <c:tx>
            <c:strRef>
              <c:f>'PC2.04_Ind03'!$B$23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'PC2.04_Ind03'!$D$23:$I$23</c:f>
              <c:numCache>
                <c:formatCode>0%</c:formatCode>
                <c:ptCount val="6"/>
                <c:pt idx="0">
                  <c:v>0.99</c:v>
                </c:pt>
                <c:pt idx="1">
                  <c:v>1</c:v>
                </c:pt>
                <c:pt idx="2">
                  <c:v>0.98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86-4344-90F5-016A009C5EF4}"/>
            </c:ext>
          </c:extLst>
        </c:ser>
        <c:ser>
          <c:idx val="13"/>
          <c:order val="13"/>
          <c:tx>
            <c:strRef>
              <c:f>'PC2.04_Ind03'!$B$24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'PC2.04_Ind03'!$D$24:$I$24</c:f>
              <c:numCache>
                <c:formatCode>0%</c:formatCode>
                <c:ptCount val="6"/>
                <c:pt idx="0">
                  <c:v>1</c:v>
                </c:pt>
                <c:pt idx="1">
                  <c:v>0.96</c:v>
                </c:pt>
                <c:pt idx="2">
                  <c:v>0.98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86-4344-90F5-016A009C5EF4}"/>
            </c:ext>
          </c:extLst>
        </c:ser>
        <c:ser>
          <c:idx val="14"/>
          <c:order val="14"/>
          <c:tx>
            <c:strRef>
              <c:f>'PC2.04_Ind03'!$B$25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'PC2.04_Ind03'!$D$25:$I$25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0.97</c:v>
                </c:pt>
                <c:pt idx="3">
                  <c:v>0.97</c:v>
                </c:pt>
                <c:pt idx="4">
                  <c:v>0.98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86-4344-90F5-016A009C5EF4}"/>
            </c:ext>
          </c:extLst>
        </c:ser>
        <c:ser>
          <c:idx val="15"/>
          <c:order val="15"/>
          <c:tx>
            <c:strRef>
              <c:f>'PC2.04_Ind03'!$B$26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'PC2.04_Ind03'!$D$26:$I$26</c:f>
              <c:numCache>
                <c:formatCode>0%</c:formatCode>
                <c:ptCount val="6"/>
                <c:pt idx="0">
                  <c:v>0.96</c:v>
                </c:pt>
                <c:pt idx="1">
                  <c:v>0.98</c:v>
                </c:pt>
                <c:pt idx="2">
                  <c:v>0.99</c:v>
                </c:pt>
                <c:pt idx="3">
                  <c:v>0.99</c:v>
                </c:pt>
                <c:pt idx="4">
                  <c:v>0.98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686-4344-90F5-016A009C5EF4}"/>
            </c:ext>
          </c:extLst>
        </c:ser>
        <c:ser>
          <c:idx val="16"/>
          <c:order val="16"/>
          <c:tx>
            <c:strRef>
              <c:f>'PC2.04_Ind03'!$B$27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'PC2.04_Ind03'!$D$27:$I$27</c:f>
              <c:numCache>
                <c:formatCode>0%</c:formatCode>
                <c:ptCount val="6"/>
                <c:pt idx="0">
                  <c:v>0.93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86-4344-90F5-016A009C5EF4}"/>
            </c:ext>
          </c:extLst>
        </c:ser>
        <c:ser>
          <c:idx val="17"/>
          <c:order val="17"/>
          <c:tx>
            <c:strRef>
              <c:f>'PC2.04_Ind03'!$B$28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'PC2.04_Ind03'!$D$28:$I$28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86-4344-90F5-016A009C5EF4}"/>
            </c:ext>
          </c:extLst>
        </c:ser>
        <c:ser>
          <c:idx val="18"/>
          <c:order val="18"/>
          <c:tx>
            <c:strRef>
              <c:f>'PC2.04_Ind03'!$B$29</c:f>
              <c:strCache>
                <c:ptCount val="1"/>
                <c:pt idx="0">
                  <c:v>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'PC2.04_Ind03'!$D$12:$I$12</c:f>
              <c:strCache>
                <c:ptCount val="6"/>
                <c:pt idx="0">
                  <c:v>2017/2018(TC)</c:v>
                </c:pt>
                <c:pt idx="1">
                  <c:v>2018/2019(TC)</c:v>
                </c:pt>
                <c:pt idx="2">
                  <c:v>2019/2020(TC)</c:v>
                </c:pt>
                <c:pt idx="3">
                  <c:v>2020/2021(TC)</c:v>
                </c:pt>
                <c:pt idx="4">
                  <c:v>2021/2022(TC)</c:v>
                </c:pt>
                <c:pt idx="5">
                  <c:v>2022/2023(TC)</c:v>
                </c:pt>
              </c:strCache>
            </c:strRef>
          </c:cat>
          <c:val>
            <c:numRef>
              <c:f>'PC2.04_Ind03'!$D$29:$I$29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0.98</c:v>
                </c:pt>
                <c:pt idx="3">
                  <c:v>0.98</c:v>
                </c:pt>
                <c:pt idx="4">
                  <c:v>0.97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86-4344-90F5-016A009C5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3604848"/>
        <c:axId val="1722342320"/>
      </c:barChart>
      <c:lineChart>
        <c:grouping val="standard"/>
        <c:varyColors val="0"/>
        <c:ser>
          <c:idx val="19"/>
          <c:order val="19"/>
          <c:tx>
            <c:strRef>
              <c:f>'PC2.04_Ind03'!$B$32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'PC2.04_Ind03'!$D$32:$I$32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686-4344-90F5-016A009C5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604848"/>
        <c:axId val="1722342320"/>
      </c:lineChart>
      <c:catAx>
        <c:axId val="20636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22342320"/>
        <c:crosses val="autoZero"/>
        <c:auto val="1"/>
        <c:lblAlgn val="ctr"/>
        <c:lblOffset val="100"/>
        <c:noMultiLvlLbl val="0"/>
      </c:catAx>
      <c:valAx>
        <c:axId val="17223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36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PC2.04_Ind4. Nombre de titulacions amb una valoració global superior o igual a 3 sobre 4. (Enquesta d’assignatures)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'PC2.04_Ind4'!$C$10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'PC2.04_Ind4'!$D$10:$G$10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7-4CDF-B1E5-A5CDB1E605FB}"/>
            </c:ext>
          </c:extLst>
        </c:ser>
        <c:ser>
          <c:idx val="1"/>
          <c:order val="1"/>
          <c:tx>
            <c:strRef>
              <c:f>'PC2.04_Ind4'!$B$11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'PC2.04_Ind4'!$D$11:$H$11</c:f>
              <c:numCache>
                <c:formatCode>General</c:formatCode>
                <c:ptCount val="5"/>
                <c:pt idx="0">
                  <c:v>3.01</c:v>
                </c:pt>
                <c:pt idx="1">
                  <c:v>3.13</c:v>
                </c:pt>
                <c:pt idx="2">
                  <c:v>3.02</c:v>
                </c:pt>
                <c:pt idx="3">
                  <c:v>3.09</c:v>
                </c:pt>
                <c:pt idx="4">
                  <c:v>3.0249999999999999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7-4CDF-B1E5-A5CDB1E605FB}"/>
            </c:ext>
          </c:extLst>
        </c:ser>
        <c:ser>
          <c:idx val="2"/>
          <c:order val="2"/>
          <c:tx>
            <c:strRef>
              <c:f>'PC2.04_Ind4'!$B$12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'PC2.04_Ind4'!$D$12:$H$12</c:f>
              <c:numCache>
                <c:formatCode>General</c:formatCode>
                <c:ptCount val="5"/>
                <c:pt idx="0">
                  <c:v>0</c:v>
                </c:pt>
                <c:pt idx="1">
                  <c:v>3.01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7-4CDF-B1E5-A5CDB1E605FB}"/>
            </c:ext>
          </c:extLst>
        </c:ser>
        <c:ser>
          <c:idx val="3"/>
          <c:order val="3"/>
          <c:tx>
            <c:strRef>
              <c:f>'PC2.04_Ind4'!$B$13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'PC2.04_Ind4'!$D$13:$H$13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2.57</c:v>
                </c:pt>
                <c:pt idx="3">
                  <c:v>3.17</c:v>
                </c:pt>
                <c:pt idx="4">
                  <c:v>3.0950000000000002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B7-4CDF-B1E5-A5CDB1E605FB}"/>
            </c:ext>
          </c:extLst>
        </c:ser>
        <c:ser>
          <c:idx val="4"/>
          <c:order val="4"/>
          <c:tx>
            <c:strRef>
              <c:f>'PC2.04_Ind4'!$B$14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'PC2.04_Ind4'!$D$14:$H$14</c:f>
              <c:numCache>
                <c:formatCode>General</c:formatCode>
                <c:ptCount val="5"/>
                <c:pt idx="0">
                  <c:v>3.13</c:v>
                </c:pt>
                <c:pt idx="1">
                  <c:v>3.01</c:v>
                </c:pt>
                <c:pt idx="2">
                  <c:v>3.16</c:v>
                </c:pt>
                <c:pt idx="3">
                  <c:v>3.25</c:v>
                </c:pt>
                <c:pt idx="4">
                  <c:v>3.1749999999999998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7-4CDF-B1E5-A5CDB1E605FB}"/>
            </c:ext>
          </c:extLst>
        </c:ser>
        <c:ser>
          <c:idx val="5"/>
          <c:order val="5"/>
          <c:tx>
            <c:strRef>
              <c:f>'PC2.04_Ind4'!$B$15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'PC2.04_Ind4'!$D$15:$H$15</c:f>
              <c:numCache>
                <c:formatCode>General</c:formatCode>
                <c:ptCount val="5"/>
                <c:pt idx="0">
                  <c:v>0</c:v>
                </c:pt>
                <c:pt idx="1">
                  <c:v>3.11</c:v>
                </c:pt>
                <c:pt idx="2">
                  <c:v>3.16</c:v>
                </c:pt>
                <c:pt idx="3">
                  <c:v>3.19</c:v>
                </c:pt>
                <c:pt idx="4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B7-4CDF-B1E5-A5CDB1E605FB}"/>
            </c:ext>
          </c:extLst>
        </c:ser>
        <c:ser>
          <c:idx val="6"/>
          <c:order val="6"/>
          <c:tx>
            <c:strRef>
              <c:f>'PC2.04_Ind4'!$B$16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'PC2.04_Ind4'!$D$16:$H$16</c:f>
              <c:numCache>
                <c:formatCode>General</c:formatCode>
                <c:ptCount val="5"/>
                <c:pt idx="0">
                  <c:v>0</c:v>
                </c:pt>
                <c:pt idx="1">
                  <c:v>3.11</c:v>
                </c:pt>
                <c:pt idx="2">
                  <c:v>2.99</c:v>
                </c:pt>
                <c:pt idx="3">
                  <c:v>2.99</c:v>
                </c:pt>
                <c:pt idx="4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B7-4CDF-B1E5-A5CDB1E605FB}"/>
            </c:ext>
          </c:extLst>
        </c:ser>
        <c:ser>
          <c:idx val="7"/>
          <c:order val="7"/>
          <c:tx>
            <c:strRef>
              <c:f>'PC2.04_Ind4'!$B$17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'PC2.04_Ind4'!$D$17:$H$17</c:f>
              <c:numCache>
                <c:formatCode>General</c:formatCode>
                <c:ptCount val="5"/>
                <c:pt idx="0">
                  <c:v>2.89</c:v>
                </c:pt>
                <c:pt idx="1">
                  <c:v>2.88</c:v>
                </c:pt>
                <c:pt idx="2">
                  <c:v>2.99</c:v>
                </c:pt>
                <c:pt idx="3">
                  <c:v>3.19</c:v>
                </c:pt>
                <c:pt idx="4">
                  <c:v>3.0550000000000002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B7-4CDF-B1E5-A5CDB1E605FB}"/>
            </c:ext>
          </c:extLst>
        </c:ser>
        <c:ser>
          <c:idx val="8"/>
          <c:order val="8"/>
          <c:tx>
            <c:strRef>
              <c:f>'PC2.04_Ind4'!$B$18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'PC2.04_Ind4'!$D$18:$H$18</c:f>
              <c:numCache>
                <c:formatCode>General</c:formatCode>
                <c:ptCount val="5"/>
                <c:pt idx="0">
                  <c:v>3.22</c:v>
                </c:pt>
                <c:pt idx="1">
                  <c:v>3.36</c:v>
                </c:pt>
                <c:pt idx="2">
                  <c:v>3.13</c:v>
                </c:pt>
                <c:pt idx="3">
                  <c:v>3.22</c:v>
                </c:pt>
                <c:pt idx="4">
                  <c:v>3.0750000000000002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B7-4CDF-B1E5-A5CDB1E605FB}"/>
            </c:ext>
          </c:extLst>
        </c:ser>
        <c:ser>
          <c:idx val="9"/>
          <c:order val="9"/>
          <c:tx>
            <c:strRef>
              <c:f>'PC2.04_Ind4'!$B$19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'PC2.04_Ind4'!$D$19:$H$19</c:f>
              <c:numCache>
                <c:formatCode>General</c:formatCode>
                <c:ptCount val="5"/>
                <c:pt idx="0">
                  <c:v>3.22</c:v>
                </c:pt>
                <c:pt idx="1">
                  <c:v>3.26</c:v>
                </c:pt>
                <c:pt idx="2">
                  <c:v>3.3</c:v>
                </c:pt>
                <c:pt idx="3">
                  <c:v>3.26</c:v>
                </c:pt>
                <c:pt idx="4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B7-4CDF-B1E5-A5CDB1E605FB}"/>
            </c:ext>
          </c:extLst>
        </c:ser>
        <c:ser>
          <c:idx val="10"/>
          <c:order val="10"/>
          <c:tx>
            <c:strRef>
              <c:f>'PC2.04_Ind4'!$B$20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'PC2.04_Ind4'!$D$20:$H$20</c:f>
              <c:numCache>
                <c:formatCode>General</c:formatCode>
                <c:ptCount val="5"/>
                <c:pt idx="0">
                  <c:v>3.12</c:v>
                </c:pt>
                <c:pt idx="1">
                  <c:v>3.1</c:v>
                </c:pt>
                <c:pt idx="2">
                  <c:v>3.07</c:v>
                </c:pt>
                <c:pt idx="3">
                  <c:v>3.28</c:v>
                </c:pt>
                <c:pt idx="4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B7-4CDF-B1E5-A5CDB1E605FB}"/>
            </c:ext>
          </c:extLst>
        </c:ser>
        <c:ser>
          <c:idx val="11"/>
          <c:order val="11"/>
          <c:tx>
            <c:strRef>
              <c:f>'PC2.04_Ind4'!$B$21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'PC2.04_Ind4'!$D$21:$H$21</c:f>
              <c:numCache>
                <c:formatCode>General</c:formatCode>
                <c:ptCount val="5"/>
                <c:pt idx="0">
                  <c:v>3.11</c:v>
                </c:pt>
                <c:pt idx="1">
                  <c:v>3.15</c:v>
                </c:pt>
                <c:pt idx="2">
                  <c:v>3.08</c:v>
                </c:pt>
                <c:pt idx="3">
                  <c:v>3.22</c:v>
                </c:pt>
                <c:pt idx="4">
                  <c:v>3.1949999999999998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B7-4CDF-B1E5-A5CDB1E605FB}"/>
            </c:ext>
          </c:extLst>
        </c:ser>
        <c:ser>
          <c:idx val="12"/>
          <c:order val="12"/>
          <c:tx>
            <c:strRef>
              <c:f>'PC2.04_Ind4'!$B$22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'PC2.04_Ind4'!$D$22:$H$22</c:f>
              <c:numCache>
                <c:formatCode>General</c:formatCode>
                <c:ptCount val="5"/>
                <c:pt idx="0">
                  <c:v>3.08</c:v>
                </c:pt>
                <c:pt idx="1">
                  <c:v>2.97</c:v>
                </c:pt>
                <c:pt idx="2">
                  <c:v>0</c:v>
                </c:pt>
                <c:pt idx="3">
                  <c:v>3.62</c:v>
                </c:pt>
                <c:pt idx="4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B7-4CDF-B1E5-A5CDB1E605FB}"/>
            </c:ext>
          </c:extLst>
        </c:ser>
        <c:ser>
          <c:idx val="13"/>
          <c:order val="13"/>
          <c:tx>
            <c:strRef>
              <c:f>'PC2.04_Ind4'!$B$23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'PC2.04_Ind4'!$D$23:$H$23</c:f>
              <c:numCache>
                <c:formatCode>General</c:formatCode>
                <c:ptCount val="5"/>
                <c:pt idx="0">
                  <c:v>3</c:v>
                </c:pt>
                <c:pt idx="1">
                  <c:v>2.91</c:v>
                </c:pt>
                <c:pt idx="2">
                  <c:v>3.4</c:v>
                </c:pt>
                <c:pt idx="3">
                  <c:v>3.12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7-4CDF-B1E5-A5CDB1E605FB}"/>
            </c:ext>
          </c:extLst>
        </c:ser>
        <c:ser>
          <c:idx val="14"/>
          <c:order val="14"/>
          <c:tx>
            <c:strRef>
              <c:f>'PC2.04_Ind4'!$B$24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'PC2.04_Ind4'!$D$24:$H$24</c:f>
              <c:numCache>
                <c:formatCode>General</c:formatCode>
                <c:ptCount val="5"/>
                <c:pt idx="0">
                  <c:v>3.25</c:v>
                </c:pt>
                <c:pt idx="1">
                  <c:v>3.29</c:v>
                </c:pt>
                <c:pt idx="2">
                  <c:v>3.63</c:v>
                </c:pt>
                <c:pt idx="3">
                  <c:v>3.64</c:v>
                </c:pt>
                <c:pt idx="4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B7-4CDF-B1E5-A5CDB1E605FB}"/>
            </c:ext>
          </c:extLst>
        </c:ser>
        <c:ser>
          <c:idx val="15"/>
          <c:order val="15"/>
          <c:tx>
            <c:strRef>
              <c:f>'PC2.04_Ind4'!$B$25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'PC2.04_Ind4'!$D$25:$H$25</c:f>
              <c:numCache>
                <c:formatCode>General</c:formatCode>
                <c:ptCount val="5"/>
                <c:pt idx="0">
                  <c:v>3.02</c:v>
                </c:pt>
                <c:pt idx="1">
                  <c:v>3.32</c:v>
                </c:pt>
                <c:pt idx="2">
                  <c:v>2.77</c:v>
                </c:pt>
                <c:pt idx="3">
                  <c:v>3.09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EB7-4CDF-B1E5-A5CDB1E605FB}"/>
            </c:ext>
          </c:extLst>
        </c:ser>
        <c:ser>
          <c:idx val="16"/>
          <c:order val="16"/>
          <c:tx>
            <c:strRef>
              <c:f>'PC2.04_Ind4'!$B$26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'PC2.04_Ind4'!$D$26:$H$26</c:f>
              <c:numCache>
                <c:formatCode>General</c:formatCode>
                <c:ptCount val="5"/>
                <c:pt idx="0">
                  <c:v>2.95</c:v>
                </c:pt>
                <c:pt idx="1">
                  <c:v>3.12</c:v>
                </c:pt>
                <c:pt idx="2">
                  <c:v>0</c:v>
                </c:pt>
                <c:pt idx="3">
                  <c:v>2.52</c:v>
                </c:pt>
                <c:pt idx="4">
                  <c:v>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EB7-4CDF-B1E5-A5CDB1E605FB}"/>
            </c:ext>
          </c:extLst>
        </c:ser>
        <c:ser>
          <c:idx val="17"/>
          <c:order val="17"/>
          <c:tx>
            <c:strRef>
              <c:f>'PC2.04_Ind4'!$B$27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'PC2.04_Ind4'!$D$27:$H$27</c:f>
              <c:numCache>
                <c:formatCode>General</c:formatCode>
                <c:ptCount val="5"/>
                <c:pt idx="0">
                  <c:v>3.43</c:v>
                </c:pt>
                <c:pt idx="1">
                  <c:v>3.19</c:v>
                </c:pt>
                <c:pt idx="2">
                  <c:v>0</c:v>
                </c:pt>
                <c:pt idx="3">
                  <c:v>0</c:v>
                </c:pt>
                <c:pt idx="4">
                  <c:v>1.7549999999999999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EB7-4CDF-B1E5-A5CDB1E605FB}"/>
            </c:ext>
          </c:extLst>
        </c:ser>
        <c:ser>
          <c:idx val="18"/>
          <c:order val="18"/>
          <c:tx>
            <c:strRef>
              <c:f>'PC2.04_Ind4'!$B$28</c:f>
              <c:strCache>
                <c:ptCount val="1"/>
                <c:pt idx="0">
                  <c:v>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'PC2.04_Ind4'!$D$10:$H$10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'PC2.04_Ind4'!$D$28:$H$28</c:f>
              <c:numCache>
                <c:formatCode>General</c:formatCode>
                <c:ptCount val="5"/>
                <c:pt idx="0">
                  <c:v>3.05</c:v>
                </c:pt>
                <c:pt idx="1">
                  <c:v>2.84</c:v>
                </c:pt>
                <c:pt idx="2">
                  <c:v>0</c:v>
                </c:pt>
                <c:pt idx="3">
                  <c:v>0</c:v>
                </c:pt>
                <c:pt idx="4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EB7-4CDF-B1E5-A5CDB1E6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63631296"/>
        <c:axId val="1818362032"/>
      </c:barChart>
      <c:lineChart>
        <c:grouping val="standard"/>
        <c:varyColors val="0"/>
        <c:ser>
          <c:idx val="19"/>
          <c:order val="19"/>
          <c:tx>
            <c:strRef>
              <c:f>'PC2.04_Ind4'!$B$32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'PC2.04_Ind4'!$D$10:$G$10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'PC2.04_Ind4'!$D$32:$G$32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EB7-4CDF-B1E5-A5CDB1E60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631296"/>
        <c:axId val="1818362032"/>
      </c:lineChart>
      <c:catAx>
        <c:axId val="20636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8362032"/>
        <c:crosses val="autoZero"/>
        <c:auto val="1"/>
        <c:lblAlgn val="ctr"/>
        <c:lblOffset val="100"/>
        <c:noMultiLvlLbl val="0"/>
      </c:catAx>
      <c:valAx>
        <c:axId val="18183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363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PC2.05_Ind01. Percentatge de propostes de modificació presentades a AQU que han obtingut l’avaluació favorable desglossades per curs acadèmic, per grau i màster.</a:t>
            </a:r>
            <a:endParaRPr lang="ca-ES" sz="1000">
              <a:effectLst/>
            </a:endParaRPr>
          </a:p>
        </c:rich>
      </c:tx>
      <c:layout>
        <c:manualLayout>
          <c:xMode val="edge"/>
          <c:yMode val="edge"/>
          <c:x val="0.102097112860892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'PC2.05_Ind01'!$B$32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'PC2.05_Ind01'!$D$11:$H$11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'PC2.05_Ind01'!$C$32:$E$32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53D-450C-8E0B-7200DF52EBB2}"/>
            </c:ext>
          </c:extLst>
        </c:ser>
        <c:ser>
          <c:idx val="1"/>
          <c:order val="1"/>
          <c:tx>
            <c:strRef>
              <c:f>'PC2.05_Ind01'!$B$29</c:f>
              <c:strCache>
                <c:ptCount val="1"/>
                <c:pt idx="0">
                  <c:v>% Compliment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6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53D-450C-8E0B-7200DF52EB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653D-450C-8E0B-7200DF52EB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53D-450C-8E0B-7200DF52EB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53D-450C-8E0B-7200DF52EB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A22-4D1D-A26E-E46DC9179C6D}"/>
              </c:ext>
            </c:extLst>
          </c:dPt>
          <c:cat>
            <c:strRef>
              <c:f>'PC2.05_Ind01'!$D$11:$H$11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'PC2.05_Ind01'!$D$29:$H$29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D-450C-8E0B-7200DF52E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1452992"/>
        <c:axId val="1203431264"/>
      </c:barChart>
      <c:lineChart>
        <c:grouping val="standard"/>
        <c:varyColors val="0"/>
        <c:ser>
          <c:idx val="2"/>
          <c:order val="2"/>
          <c:tx>
            <c:strRef>
              <c:f>'PC2.05_Ind01'!$B$30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'PC2.05_Ind01'!$D$11:$G$11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'PC2.05_Ind01'!$D$30:$H$30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3D-450C-8E0B-7200DF52E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452992"/>
        <c:axId val="1203431264"/>
      </c:lineChart>
      <c:catAx>
        <c:axId val="12014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3431264"/>
        <c:crosses val="autoZero"/>
        <c:auto val="1"/>
        <c:lblAlgn val="ctr"/>
        <c:lblOffset val="100"/>
        <c:noMultiLvlLbl val="0"/>
      </c:catAx>
      <c:valAx>
        <c:axId val="1203431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14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600" b="1" i="0" u="none" strike="noStrike" baseline="0">
                <a:effectLst/>
              </a:rPr>
              <a:t>PC3.01_Ind01 Ràtio de sol.licituds en 1a preferència per l'oferta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'PC3.01_Ind01'!$B$11</c:f>
              <c:strCache>
                <c:ptCount val="1"/>
                <c:pt idx="0">
                  <c:v>Curs acadèmic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C5-40D2-82EC-61D31F0C9236}"/>
            </c:ext>
          </c:extLst>
        </c:ser>
        <c:ser>
          <c:idx val="2"/>
          <c:order val="2"/>
          <c:tx>
            <c:strRef>
              <c:f>'PC3.01_Ind01'!$B$13</c:f>
              <c:strCache>
                <c:ptCount val="1"/>
                <c:pt idx="0">
                  <c:v>Grau en Física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'PC3.01_Ind01'!$C$13:$F$13</c:f>
              <c:numCache>
                <c:formatCode>General</c:formatCode>
                <c:ptCount val="4"/>
                <c:pt idx="0">
                  <c:v>2.1</c:v>
                </c:pt>
                <c:pt idx="1">
                  <c:v>2.4</c:v>
                </c:pt>
                <c:pt idx="2">
                  <c:v>2.2000000000000002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C5-40D2-82EC-61D31F0C9236}"/>
            </c:ext>
          </c:extLst>
        </c:ser>
        <c:ser>
          <c:idx val="3"/>
          <c:order val="3"/>
          <c:tx>
            <c:strRef>
              <c:f>'PC3.01_Ind01'!$B$14</c:f>
              <c:strCache>
                <c:ptCount val="1"/>
                <c:pt idx="0">
                  <c:v>Grau en 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'PC3.01_Ind01'!$C$14:$F$14</c:f>
              <c:numCache>
                <c:formatCode>General</c:formatCode>
                <c:ptCount val="4"/>
                <c:pt idx="0">
                  <c:v>1.2</c:v>
                </c:pt>
                <c:pt idx="1">
                  <c:v>2</c:v>
                </c:pt>
                <c:pt idx="2">
                  <c:v>1.7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C5-40D2-82EC-61D31F0C9236}"/>
            </c:ext>
          </c:extLst>
        </c:ser>
        <c:ser>
          <c:idx val="4"/>
          <c:order val="4"/>
          <c:tx>
            <c:strRef>
              <c:f>'PC3.01_Ind01'!$B$15</c:f>
              <c:strCache>
                <c:ptCount val="1"/>
                <c:pt idx="0">
                  <c:v>Grau en 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'PC3.01_Ind01'!$C$15:$F$15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5.2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C5-40D2-82EC-61D31F0C9236}"/>
            </c:ext>
          </c:extLst>
        </c:ser>
        <c:ser>
          <c:idx val="5"/>
          <c:order val="5"/>
          <c:tx>
            <c:strRef>
              <c:f>'PC3.01_Ind01'!$B$16</c:f>
              <c:strCache>
                <c:ptCount val="1"/>
                <c:pt idx="0">
                  <c:v>Grau en Ciències Ambientals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'PC3.01_Ind01'!$C$16:$F$16</c:f>
              <c:numCache>
                <c:formatCode>General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C5-40D2-82EC-61D31F0C9236}"/>
            </c:ext>
          </c:extLst>
        </c:ser>
        <c:ser>
          <c:idx val="6"/>
          <c:order val="6"/>
          <c:tx>
            <c:strRef>
              <c:f>'PC3.01_Ind01'!$B$17</c:f>
              <c:strCache>
                <c:ptCount val="1"/>
                <c:pt idx="0">
                  <c:v>Grau en Geologia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'PC3.01_Ind01'!$C$17:$F$17</c:f>
              <c:numCache>
                <c:formatCode>General</c:formatCode>
                <c:ptCount val="4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C5-40D2-82EC-61D31F0C9236}"/>
            </c:ext>
          </c:extLst>
        </c:ser>
        <c:ser>
          <c:idx val="7"/>
          <c:order val="7"/>
          <c:tx>
            <c:strRef>
              <c:f>'PC3.01_Ind01'!$B$18</c:f>
              <c:strCache>
                <c:ptCount val="1"/>
                <c:pt idx="0">
                  <c:v>Grau en 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'PC3.01_Ind01'!$C$18:$F$18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C5-40D2-82EC-61D31F0C9236}"/>
            </c:ext>
          </c:extLst>
        </c:ser>
        <c:ser>
          <c:idx val="8"/>
          <c:order val="8"/>
          <c:tx>
            <c:strRef>
              <c:f>'PC3.01_Ind01'!$B$19</c:f>
              <c:strCache>
                <c:ptCount val="1"/>
                <c:pt idx="0">
                  <c:v>Grau en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'PC3.01_Ind01'!$C$19:$F$19</c:f>
              <c:numCache>
                <c:formatCode>General</c:formatCode>
                <c:ptCount val="4"/>
                <c:pt idx="0">
                  <c:v>1.1000000000000001</c:v>
                </c:pt>
                <c:pt idx="1">
                  <c:v>0.9</c:v>
                </c:pt>
                <c:pt idx="2">
                  <c:v>1.1000000000000001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C5-40D2-82EC-61D31F0C9236}"/>
            </c:ext>
          </c:extLst>
        </c:ser>
        <c:ser>
          <c:idx val="9"/>
          <c:order val="9"/>
          <c:tx>
            <c:strRef>
              <c:f>'PC3.01_Ind01'!$B$20</c:f>
              <c:strCache>
                <c:ptCount val="1"/>
                <c:pt idx="0">
                  <c:v>Grau en Física i Química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'PC3.01_Ind01'!$C$20:$F$20</c:f>
              <c:numCache>
                <c:formatCode>General</c:formatCode>
                <c:ptCount val="4"/>
                <c:pt idx="0">
                  <c:v>1.9</c:v>
                </c:pt>
                <c:pt idx="1">
                  <c:v>1.9</c:v>
                </c:pt>
                <c:pt idx="2">
                  <c:v>2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C5-40D2-82EC-61D31F0C9236}"/>
            </c:ext>
          </c:extLst>
        </c:ser>
        <c:ser>
          <c:idx val="10"/>
          <c:order val="10"/>
          <c:tx>
            <c:strRef>
              <c:f>'PC3.01_Ind01'!$B$21</c:f>
              <c:strCache>
                <c:ptCount val="1"/>
                <c:pt idx="0">
                  <c:v>Grau en Ciències Ambientals / 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'PC3.01_Ind01'!$C$21:$F$21</c:f>
              <c:numCache>
                <c:formatCode>General</c:formatCode>
                <c:ptCount val="4"/>
                <c:pt idx="0">
                  <c:v>1</c:v>
                </c:pt>
                <c:pt idx="1">
                  <c:v>1.2</c:v>
                </c:pt>
                <c:pt idx="2">
                  <c:v>0.8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C5-40D2-82EC-61D31F0C9236}"/>
            </c:ext>
          </c:extLst>
        </c:ser>
        <c:ser>
          <c:idx val="11"/>
          <c:order val="11"/>
          <c:tx>
            <c:strRef>
              <c:f>'PC3.01_Ind01'!$B$22</c:f>
              <c:strCache>
                <c:ptCount val="1"/>
                <c:pt idx="0">
                  <c:v>Grau en 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'PC3.01_Ind01'!$C$22:$F$22</c:f>
              <c:numCache>
                <c:formatCode>General</c:formatCode>
                <c:ptCount val="4"/>
                <c:pt idx="0">
                  <c:v>1.3</c:v>
                </c:pt>
                <c:pt idx="1">
                  <c:v>1.4</c:v>
                </c:pt>
                <c:pt idx="2">
                  <c:v>1.3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C5-40D2-82EC-61D31F0C9236}"/>
            </c:ext>
          </c:extLst>
        </c:ser>
        <c:ser>
          <c:idx val="12"/>
          <c:order val="12"/>
          <c:tx>
            <c:strRef>
              <c:f>'PC3.01_Ind01'!$B$23</c:f>
              <c:strCache>
                <c:ptCount val="1"/>
                <c:pt idx="0">
                  <c:v>Grau en 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'PC3.01_Ind01'!$C$23:$F$23</c:f>
              <c:numCache>
                <c:formatCode>General</c:formatCode>
                <c:ptCount val="4"/>
                <c:pt idx="0">
                  <c:v>0.8</c:v>
                </c:pt>
                <c:pt idx="1">
                  <c:v>1.6</c:v>
                </c:pt>
                <c:pt idx="2">
                  <c:v>1.1000000000000001</c:v>
                </c:pt>
                <c:pt idx="3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C5-40D2-82EC-61D31F0C9236}"/>
            </c:ext>
          </c:extLst>
        </c:ser>
        <c:ser>
          <c:idx val="13"/>
          <c:order val="13"/>
          <c:tx>
            <c:strRef>
              <c:f>'PC3.01_Ind01'!$B$24</c:f>
              <c:strCache>
                <c:ptCount val="1"/>
                <c:pt idx="0">
                  <c:v>Valor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'PC3.01_Ind01'!$C$11:$F$11</c:f>
              <c:strCache>
                <c:ptCount val="4"/>
                <c:pt idx="0">
                  <c:v>2019/20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'PC3.01_Ind01'!$C$24:$F$24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C5-40D2-82EC-61D31F0C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67821664"/>
        <c:axId val="1199846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'PC3.01_Ind01'!$C$11:$F$11</c15:sqref>
                        </c15:formulaRef>
                      </c:ext>
                    </c:extLst>
                    <c:strCache>
                      <c:ptCount val="4"/>
                      <c:pt idx="0">
                        <c:v>2019/20</c:v>
                      </c:pt>
                      <c:pt idx="1">
                        <c:v>2020/2021</c:v>
                      </c:pt>
                      <c:pt idx="2">
                        <c:v>2021/2022</c:v>
                      </c:pt>
                      <c:pt idx="3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'PC3.01_Ind01'!$B$11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5C5-40D2-82EC-61D31F0C9236}"/>
                  </c:ext>
                </c:extLst>
              </c15:ser>
            </c15:filteredBarSeries>
          </c:ext>
        </c:extLst>
      </c:barChart>
      <c:catAx>
        <c:axId val="16678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99846336"/>
        <c:crosses val="autoZero"/>
        <c:auto val="1"/>
        <c:lblAlgn val="ctr"/>
        <c:lblOffset val="100"/>
        <c:noMultiLvlLbl val="0"/>
      </c:catAx>
      <c:valAx>
        <c:axId val="11998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6782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'PE1.01_Ind03 '!$A$12:$B$12</c:f>
              <c:strCache>
                <c:ptCount val="2"/>
                <c:pt idx="0">
                  <c:v>Valor real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'PE1.01_Ind03 '!$C$11</c:f>
              <c:strCache>
                <c:ptCount val="1"/>
                <c:pt idx="0">
                  <c:v>2017/2018</c:v>
                </c:pt>
              </c:strCache>
            </c:strRef>
          </c:cat>
          <c:val>
            <c:numRef>
              <c:f>'PE1.01_Ind03 '!$G$12:$H$12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3-4119-8CA5-D76F4036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0950288"/>
        <c:axId val="1259630768"/>
      </c:barChart>
      <c:lineChart>
        <c:grouping val="standard"/>
        <c:varyColors val="0"/>
        <c:ser>
          <c:idx val="1"/>
          <c:order val="1"/>
          <c:tx>
            <c:strRef>
              <c:f>'PE1.01_Ind03 '!$A$13:$B$13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'PE1.01_Ind03 '!$C$11</c:f>
              <c:strCache>
                <c:ptCount val="1"/>
                <c:pt idx="0">
                  <c:v>2017/2018</c:v>
                </c:pt>
              </c:strCache>
            </c:strRef>
          </c:cat>
          <c:val>
            <c:numRef>
              <c:f>'PE1.01_Ind03 '!$G$13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3-4119-8CA5-D76F4036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50288"/>
        <c:axId val="1259630768"/>
      </c:lineChart>
      <c:catAx>
        <c:axId val="133095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9630768"/>
        <c:crosses val="autoZero"/>
        <c:auto val="1"/>
        <c:lblAlgn val="ctr"/>
        <c:lblOffset val="100"/>
        <c:noMultiLvlLbl val="0"/>
      </c:catAx>
      <c:valAx>
        <c:axId val="125963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3095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PC3.01_Ind02. Percentatge d’homes i dones matriculats per curs acadèmic i titulació (dones)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6.0416885389326332E-2"/>
          <c:y val="0.29189596092155146"/>
          <c:w val="0.89513867016622917"/>
          <c:h val="0.62949292796733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'PC3.01_Ind02.'!$B$11</c:f>
              <c:strCache>
                <c:ptCount val="1"/>
                <c:pt idx="0">
                  <c:v>Titulació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0-4E6A-9137-9FF7E25CF89A}"/>
            </c:ext>
          </c:extLst>
        </c:ser>
        <c:ser>
          <c:idx val="1"/>
          <c:order val="1"/>
          <c:tx>
            <c:strRef>
              <c:f>'PC3.01_Ind02.'!$B$13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'PC3.01_Ind02.'!$C$13:$G$13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</c:v>
                </c:pt>
                <c:pt idx="3">
                  <c:v>0.59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0-4E6A-9137-9FF7E25CF89A}"/>
            </c:ext>
          </c:extLst>
        </c:ser>
        <c:ser>
          <c:idx val="2"/>
          <c:order val="2"/>
          <c:tx>
            <c:strRef>
              <c:f>'PC3.01_Ind02.'!$B$14</c:f>
              <c:strCache>
                <c:ptCount val="1"/>
                <c:pt idx="0">
                  <c:v>CCAA i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'PC3.01_Ind02.'!$C$14:$G$14</c:f>
              <c:numCache>
                <c:formatCode>0%</c:formatCode>
                <c:ptCount val="5"/>
                <c:pt idx="0">
                  <c:v>0.45</c:v>
                </c:pt>
                <c:pt idx="1">
                  <c:v>0.42</c:v>
                </c:pt>
                <c:pt idx="2">
                  <c:v>0.71</c:v>
                </c:pt>
                <c:pt idx="3">
                  <c:v>0.52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30-4E6A-9137-9FF7E25CF89A}"/>
            </c:ext>
          </c:extLst>
        </c:ser>
        <c:ser>
          <c:idx val="3"/>
          <c:order val="3"/>
          <c:tx>
            <c:strRef>
              <c:f>'PC3.01_Ind02.'!$B$15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'PC3.01_Ind02.'!$C$15:$G$15</c:f>
              <c:numCache>
                <c:formatCode>0%</c:formatCode>
                <c:ptCount val="5"/>
                <c:pt idx="0">
                  <c:v>0.51</c:v>
                </c:pt>
                <c:pt idx="1">
                  <c:v>0.51</c:v>
                </c:pt>
                <c:pt idx="2">
                  <c:v>0.32</c:v>
                </c:pt>
                <c:pt idx="3">
                  <c:v>0.49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30-4E6A-9137-9FF7E25CF89A}"/>
            </c:ext>
          </c:extLst>
        </c:ser>
        <c:ser>
          <c:idx val="4"/>
          <c:order val="4"/>
          <c:tx>
            <c:strRef>
              <c:f>'PC3.01_Ind02.'!$B$16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'PC3.01_Ind02.'!$C$16:$G$16</c:f>
              <c:numCache>
                <c:formatCode>0%</c:formatCode>
                <c:ptCount val="5"/>
                <c:pt idx="0">
                  <c:v>0.17</c:v>
                </c:pt>
                <c:pt idx="1">
                  <c:v>0.17</c:v>
                </c:pt>
                <c:pt idx="2">
                  <c:v>0.26</c:v>
                </c:pt>
                <c:pt idx="3">
                  <c:v>0.28999999999999998</c:v>
                </c:pt>
                <c:pt idx="4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30-4E6A-9137-9FF7E25CF89A}"/>
            </c:ext>
          </c:extLst>
        </c:ser>
        <c:ser>
          <c:idx val="5"/>
          <c:order val="5"/>
          <c:tx>
            <c:strRef>
              <c:f>'PC3.01_Ind02.'!$B$17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'PC3.01_Ind02.'!$C$17:$G$17</c:f>
              <c:numCache>
                <c:formatCode>0%</c:formatCode>
                <c:ptCount val="5"/>
                <c:pt idx="0">
                  <c:v>0.27</c:v>
                </c:pt>
                <c:pt idx="1">
                  <c:v>0.27</c:v>
                </c:pt>
                <c:pt idx="2">
                  <c:v>0.35</c:v>
                </c:pt>
                <c:pt idx="3">
                  <c:v>0.42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30-4E6A-9137-9FF7E25CF89A}"/>
            </c:ext>
          </c:extLst>
        </c:ser>
        <c:ser>
          <c:idx val="6"/>
          <c:order val="6"/>
          <c:tx>
            <c:strRef>
              <c:f>'PC3.01_Ind02.'!$B$18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'PC3.01_Ind02.'!$C$18:$G$18</c:f>
              <c:numCache>
                <c:formatCode>0%</c:formatCode>
                <c:ptCount val="5"/>
                <c:pt idx="0">
                  <c:v>0.27</c:v>
                </c:pt>
                <c:pt idx="1">
                  <c:v>0.27</c:v>
                </c:pt>
                <c:pt idx="2">
                  <c:v>0.28999999999999998</c:v>
                </c:pt>
                <c:pt idx="3">
                  <c:v>0.5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0-4E6A-9137-9FF7E25CF89A}"/>
            </c:ext>
          </c:extLst>
        </c:ser>
        <c:ser>
          <c:idx val="7"/>
          <c:order val="7"/>
          <c:tx>
            <c:strRef>
              <c:f>'PC3.01_Ind02.'!$B$19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'PC3.01_Ind02.'!$C$19:$G$19</c:f>
              <c:numCache>
                <c:formatCode>0%</c:formatCode>
                <c:ptCount val="5"/>
                <c:pt idx="0">
                  <c:v>0.46</c:v>
                </c:pt>
                <c:pt idx="1">
                  <c:v>0.46</c:v>
                </c:pt>
                <c:pt idx="2">
                  <c:v>0.48</c:v>
                </c:pt>
                <c:pt idx="3">
                  <c:v>0.33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30-4E6A-9137-9FF7E25CF89A}"/>
            </c:ext>
          </c:extLst>
        </c:ser>
        <c:ser>
          <c:idx val="8"/>
          <c:order val="8"/>
          <c:tx>
            <c:strRef>
              <c:f>'PC3.01_Ind02.'!$B$20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'PC3.01_Ind02.'!$C$20:$G$20</c:f>
              <c:numCache>
                <c:formatCode>0%</c:formatCode>
                <c:ptCount val="5"/>
                <c:pt idx="0">
                  <c:v>0.36</c:v>
                </c:pt>
                <c:pt idx="1">
                  <c:v>0.36</c:v>
                </c:pt>
                <c:pt idx="2">
                  <c:v>0.47</c:v>
                </c:pt>
                <c:pt idx="3">
                  <c:v>0.49</c:v>
                </c:pt>
                <c:pt idx="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30-4E6A-9137-9FF7E25CF89A}"/>
            </c:ext>
          </c:extLst>
        </c:ser>
        <c:ser>
          <c:idx val="9"/>
          <c:order val="9"/>
          <c:tx>
            <c:strRef>
              <c:f>'PC3.01_Ind02.'!$B$21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'PC3.01_Ind02.'!$C$21:$G$21</c:f>
              <c:numCache>
                <c:formatCode>0%</c:formatCode>
                <c:ptCount val="5"/>
                <c:pt idx="0">
                  <c:v>0.42</c:v>
                </c:pt>
                <c:pt idx="1">
                  <c:v>0.42</c:v>
                </c:pt>
                <c:pt idx="2">
                  <c:v>0.33</c:v>
                </c:pt>
                <c:pt idx="3">
                  <c:v>0.41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30-4E6A-9137-9FF7E25CF89A}"/>
            </c:ext>
          </c:extLst>
        </c:ser>
        <c:ser>
          <c:idx val="10"/>
          <c:order val="10"/>
          <c:tx>
            <c:strRef>
              <c:f>'PC3.01_Ind02.'!$B$22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'PC3.01_Ind02.'!$C$22:$G$22</c:f>
              <c:numCache>
                <c:formatCode>0%</c:formatCode>
                <c:ptCount val="5"/>
                <c:pt idx="0">
                  <c:v>0.38</c:v>
                </c:pt>
                <c:pt idx="1">
                  <c:v>0.38</c:v>
                </c:pt>
                <c:pt idx="2">
                  <c:v>0.41</c:v>
                </c:pt>
                <c:pt idx="3">
                  <c:v>0.28999999999999998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30-4E6A-9137-9FF7E25CF89A}"/>
            </c:ext>
          </c:extLst>
        </c:ser>
        <c:ser>
          <c:idx val="11"/>
          <c:order val="11"/>
          <c:tx>
            <c:strRef>
              <c:f>'PC3.01_Ind02.'!$B$23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'PC3.01_Ind02.'!$C$23:$G$23</c:f>
              <c:numCache>
                <c:formatCode>0%</c:formatCode>
                <c:ptCount val="5"/>
                <c:pt idx="0">
                  <c:v>0.49</c:v>
                </c:pt>
                <c:pt idx="1">
                  <c:v>0.49</c:v>
                </c:pt>
                <c:pt idx="2">
                  <c:v>0.33</c:v>
                </c:pt>
                <c:pt idx="3">
                  <c:v>0.39</c:v>
                </c:pt>
                <c:pt idx="4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30-4E6A-9137-9FF7E25C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66149728"/>
        <c:axId val="1265518800"/>
      </c:barChart>
      <c:lineChart>
        <c:grouping val="standard"/>
        <c:varyColors val="0"/>
        <c:ser>
          <c:idx val="12"/>
          <c:order val="12"/>
          <c:tx>
            <c:strRef>
              <c:f>'PC3.01_Ind02.'!$B$26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'PC3.01_Ind02.'!$C$11:$G$11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'PC3.01_Ind02.'!$C$26:$G$26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E30-4E6A-9137-9FF7E25C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49728"/>
        <c:axId val="1265518800"/>
      </c:lineChart>
      <c:catAx>
        <c:axId val="8661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518800"/>
        <c:crosses val="autoZero"/>
        <c:auto val="1"/>
        <c:lblAlgn val="ctr"/>
        <c:lblOffset val="100"/>
        <c:noMultiLvlLbl val="0"/>
      </c:catAx>
      <c:valAx>
        <c:axId val="126551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661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9483479319279"/>
          <c:y val="0.15834615149850451"/>
          <c:w val="0.88605165206807213"/>
          <c:h val="0.33777787950924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'PC3.01_Ind03'!$B$26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'PC3.01_Ind03'!$C$26:$E$26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12C-4187-B741-41A311C33EC8}"/>
            </c:ext>
          </c:extLst>
        </c:ser>
        <c:ser>
          <c:idx val="1"/>
          <c:order val="1"/>
          <c:tx>
            <c:strRef>
              <c:f>'PC3.01_Ind03'!$B$12</c:f>
              <c:strCache>
                <c:ptCount val="1"/>
                <c:pt idx="0">
                  <c:v>Màsters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C-4187-B741-41A311C33EC8}"/>
            </c:ext>
          </c:extLst>
        </c:ser>
        <c:ser>
          <c:idx val="2"/>
          <c:order val="2"/>
          <c:tx>
            <c:strRef>
              <c:f>'PC3.01_Ind03'!$B$13</c:f>
              <c:strCache>
                <c:ptCount val="1"/>
                <c:pt idx="0">
                  <c:v>Estudis Interdisciplinaris en Sostenibilitat Ambiental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'PC3.01_Ind03'!$C$13:$G$13</c:f>
              <c:numCache>
                <c:formatCode>0%</c:formatCode>
                <c:ptCount val="5"/>
                <c:pt idx="0">
                  <c:v>0.61</c:v>
                </c:pt>
                <c:pt idx="1">
                  <c:v>0.75</c:v>
                </c:pt>
                <c:pt idx="2" formatCode="0.00%">
                  <c:v>0.5</c:v>
                </c:pt>
                <c:pt idx="3">
                  <c:v>0.64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C-4187-B741-41A311C33EC8}"/>
            </c:ext>
          </c:extLst>
        </c:ser>
        <c:ser>
          <c:idx val="3"/>
          <c:order val="3"/>
          <c:tx>
            <c:strRef>
              <c:f>'PC3.01_Ind03'!$B$14</c:f>
              <c:strCache>
                <c:ptCount val="1"/>
                <c:pt idx="0">
                  <c:v>Física d’Altes Energies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'PC3.01_Ind03'!$C$14:$G$14</c:f>
              <c:numCache>
                <c:formatCode>0%</c:formatCode>
                <c:ptCount val="5"/>
                <c:pt idx="0">
                  <c:v>0.05</c:v>
                </c:pt>
                <c:pt idx="1">
                  <c:v>0.28999999999999998</c:v>
                </c:pt>
                <c:pt idx="2" formatCode="0.00%">
                  <c:v>0.125</c:v>
                </c:pt>
                <c:pt idx="3">
                  <c:v>0.19</c:v>
                </c:pt>
                <c:pt idx="4" formatCode="0.00%">
                  <c:v>0.1153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C-4187-B741-41A311C33EC8}"/>
            </c:ext>
          </c:extLst>
        </c:ser>
        <c:ser>
          <c:idx val="4"/>
          <c:order val="4"/>
          <c:tx>
            <c:strRef>
              <c:f>'PC3.01_Ind03'!$B$15</c:f>
              <c:strCache>
                <c:ptCount val="1"/>
                <c:pt idx="0">
                  <c:v>Història de la Ciència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'PC3.01_Ind03'!$C$15:$G$15</c:f>
              <c:numCache>
                <c:formatCode>0%</c:formatCode>
                <c:ptCount val="5"/>
                <c:pt idx="0">
                  <c:v>0.53</c:v>
                </c:pt>
                <c:pt idx="1">
                  <c:v>0.27</c:v>
                </c:pt>
                <c:pt idx="2" formatCode="0.00%">
                  <c:v>0</c:v>
                </c:pt>
                <c:pt idx="3">
                  <c:v>0.14000000000000001</c:v>
                </c:pt>
                <c:pt idx="4" formatCode="0.00%">
                  <c:v>0.22220000000000001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C-4187-B741-41A311C33EC8}"/>
            </c:ext>
          </c:extLst>
        </c:ser>
        <c:ser>
          <c:idx val="5"/>
          <c:order val="5"/>
          <c:tx>
            <c:strRef>
              <c:f>'PC3.01_Ind03'!$B$16</c:f>
              <c:strCache>
                <c:ptCount val="1"/>
                <c:pt idx="0">
                  <c:v>Modelització per a la Ciència i l’Enginyeria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'PC3.01_Ind03'!$C$16:$G$16</c:f>
              <c:numCache>
                <c:formatCode>0%</c:formatCode>
                <c:ptCount val="5"/>
                <c:pt idx="0">
                  <c:v>0.26</c:v>
                </c:pt>
                <c:pt idx="1">
                  <c:v>0.28000000000000003</c:v>
                </c:pt>
                <c:pt idx="2" formatCode="0.00%">
                  <c:v>0.16700000000000001</c:v>
                </c:pt>
                <c:pt idx="3">
                  <c:v>0.14000000000000001</c:v>
                </c:pt>
                <c:pt idx="4" formatCode="0.00%">
                  <c:v>0.14280000000000001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2C-4187-B741-41A311C33EC8}"/>
            </c:ext>
          </c:extLst>
        </c:ser>
        <c:ser>
          <c:idx val="6"/>
          <c:order val="6"/>
          <c:tx>
            <c:strRef>
              <c:f>'PC3.01_Ind03'!$B$17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'PC3.01_Ind03'!$C$17:$G$17</c:f>
              <c:numCache>
                <c:formatCode>0%</c:formatCode>
                <c:ptCount val="5"/>
                <c:pt idx="0">
                  <c:v>0.2</c:v>
                </c:pt>
                <c:pt idx="1">
                  <c:v>0.38</c:v>
                </c:pt>
                <c:pt idx="2" formatCode="0.00%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2C-4187-B741-41A311C33EC8}"/>
            </c:ext>
          </c:extLst>
        </c:ser>
        <c:ser>
          <c:idx val="7"/>
          <c:order val="7"/>
          <c:tx>
            <c:strRef>
              <c:f>'PC3.01_Ind03'!$B$18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'PC3.01_Ind03'!$C$18:$G$18</c:f>
              <c:numCache>
                <c:formatCode>0%</c:formatCode>
                <c:ptCount val="5"/>
                <c:pt idx="0">
                  <c:v>0.19</c:v>
                </c:pt>
                <c:pt idx="1">
                  <c:v>0.05</c:v>
                </c:pt>
                <c:pt idx="2" formatCode="0.00%">
                  <c:v>0.14299999999999999</c:v>
                </c:pt>
                <c:pt idx="3">
                  <c:v>0.15</c:v>
                </c:pt>
                <c:pt idx="4" formatCode="0.00%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2C-4187-B741-41A311C33EC8}"/>
            </c:ext>
          </c:extLst>
        </c:ser>
        <c:ser>
          <c:idx val="8"/>
          <c:order val="8"/>
          <c:tx>
            <c:strRef>
              <c:f>'PC3.01_Ind03'!$B$19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'PC3.01_Ind03'!$C$19:$G$19</c:f>
              <c:numCache>
                <c:formatCode>0%</c:formatCode>
                <c:ptCount val="5"/>
                <c:pt idx="0">
                  <c:v>0.13</c:v>
                </c:pt>
                <c:pt idx="1">
                  <c:v>0.09</c:v>
                </c:pt>
                <c:pt idx="2" formatCode="0.00%">
                  <c:v>8.1000000000000003E-2</c:v>
                </c:pt>
                <c:pt idx="3">
                  <c:v>0.22</c:v>
                </c:pt>
                <c:pt idx="4" formatCode="0.00%">
                  <c:v>0.10249999999999999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C-4187-B741-41A311C3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90408176"/>
        <c:axId val="1265516880"/>
      </c:barChart>
      <c:lineChart>
        <c:grouping val="standard"/>
        <c:varyColors val="0"/>
        <c:ser>
          <c:idx val="9"/>
          <c:order val="9"/>
          <c:tx>
            <c:strRef>
              <c:f>'PC3.01_Ind03'!$B$20</c:f>
              <c:strCache>
                <c:ptCount val="1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'PC3.01_Ind03'!$C$20:$G$20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2C-4187-B741-41A311C3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08176"/>
        <c:axId val="1265516880"/>
      </c:lineChart>
      <c:catAx>
        <c:axId val="17904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5516880"/>
        <c:crosses val="autoZero"/>
        <c:auto val="1"/>
        <c:lblAlgn val="ctr"/>
        <c:lblOffset val="100"/>
        <c:noMultiLvlLbl val="0"/>
      </c:catAx>
      <c:valAx>
        <c:axId val="12655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9040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>
                <a:effectLst/>
              </a:rPr>
              <a:t>PC3.01_Ind04. Taxa de rendiment de nou accés per Grau 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5660502754679854"/>
          <c:y val="0.18347578347578347"/>
          <c:w val="0.72295362667810714"/>
          <c:h val="0.48243780424882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'PC3.01_Ind04 '!$H$4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'!$I$4:$J$4</c:f>
              <c:numCache>
                <c:formatCode>General</c:formatCode>
                <c:ptCount val="2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19FD-4284-B281-30C66932DF65}"/>
            </c:ext>
          </c:extLst>
        </c:ser>
        <c:ser>
          <c:idx val="1"/>
          <c:order val="1"/>
          <c:tx>
            <c:strRef>
              <c:f>'PC3.01_Ind04 '!$B$13:$C$13</c:f>
              <c:strCache>
                <c:ptCount val="2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'!$D$13:$I$13</c:f>
              <c:numCache>
                <c:formatCode>0%</c:formatCode>
                <c:ptCount val="6"/>
                <c:pt idx="0">
                  <c:v>0.84</c:v>
                </c:pt>
                <c:pt idx="1">
                  <c:v>0.8</c:v>
                </c:pt>
                <c:pt idx="2">
                  <c:v>0.95</c:v>
                </c:pt>
                <c:pt idx="3">
                  <c:v>0.8</c:v>
                </c:pt>
                <c:pt idx="4">
                  <c:v>0.86909999999999998</c:v>
                </c:pt>
                <c:pt idx="5">
                  <c:v>0.85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19FD-4284-B281-30C66932DF65}"/>
            </c:ext>
          </c:extLst>
        </c:ser>
        <c:ser>
          <c:idx val="2"/>
          <c:order val="2"/>
          <c:tx>
            <c:strRef>
              <c:f>'PC3.01_Ind04 '!$B$14:$C$14</c:f>
              <c:strCache>
                <c:ptCount val="2"/>
                <c:pt idx="0">
                  <c:v>Ciències Ambientals i Grau en 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'!$D$14:$I$14</c:f>
              <c:numCache>
                <c:formatCode>0%</c:formatCode>
                <c:ptCount val="6"/>
                <c:pt idx="0">
                  <c:v>0.84</c:v>
                </c:pt>
                <c:pt idx="1">
                  <c:v>0.92</c:v>
                </c:pt>
                <c:pt idx="2">
                  <c:v>0.94</c:v>
                </c:pt>
                <c:pt idx="3">
                  <c:v>0.83</c:v>
                </c:pt>
                <c:pt idx="4">
                  <c:v>0.9</c:v>
                </c:pt>
                <c:pt idx="5">
                  <c:v>0.87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9FD-4284-B281-30C66932DF65}"/>
            </c:ext>
          </c:extLst>
        </c:ser>
        <c:ser>
          <c:idx val="3"/>
          <c:order val="3"/>
          <c:tx>
            <c:strRef>
              <c:f>'PC3.01_Ind04 '!$B$15:$C$15</c:f>
              <c:strCache>
                <c:ptCount val="2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'!$D$15:$I$15</c:f>
              <c:numCache>
                <c:formatCode>0%</c:formatCode>
                <c:ptCount val="6"/>
                <c:pt idx="0">
                  <c:v>0.62</c:v>
                </c:pt>
                <c:pt idx="1">
                  <c:v>0.7</c:v>
                </c:pt>
                <c:pt idx="2">
                  <c:v>0.66</c:v>
                </c:pt>
                <c:pt idx="3">
                  <c:v>0.69</c:v>
                </c:pt>
                <c:pt idx="4">
                  <c:v>0.67849999999999999</c:v>
                </c:pt>
                <c:pt idx="5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D-4284-B281-30C66932DF65}"/>
            </c:ext>
          </c:extLst>
        </c:ser>
        <c:ser>
          <c:idx val="4"/>
          <c:order val="4"/>
          <c:tx>
            <c:strRef>
              <c:f>'PC3.01_Ind04 '!$B$16:$C$16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'!$D$16:$I$16</c:f>
              <c:numCache>
                <c:formatCode>0%</c:formatCode>
                <c:ptCount val="6"/>
                <c:pt idx="0">
                  <c:v>0.82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0.86529999999999996</c:v>
                </c:pt>
                <c:pt idx="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D-4284-B281-30C66932DF65}"/>
            </c:ext>
          </c:extLst>
        </c:ser>
        <c:ser>
          <c:idx val="5"/>
          <c:order val="5"/>
          <c:tx>
            <c:strRef>
              <c:f>'PC3.01_Ind04 '!$B$17:$C$17</c:f>
              <c:strCache>
                <c:ptCount val="2"/>
                <c:pt idx="0">
                  <c:v>Física i 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'!$D$17:$I$17</c:f>
              <c:numCache>
                <c:formatCode>0%</c:formatCode>
                <c:ptCount val="6"/>
                <c:pt idx="0">
                  <c:v>0.99</c:v>
                </c:pt>
                <c:pt idx="1">
                  <c:v>0.89</c:v>
                </c:pt>
                <c:pt idx="2">
                  <c:v>0.96</c:v>
                </c:pt>
                <c:pt idx="3">
                  <c:v>0.91</c:v>
                </c:pt>
                <c:pt idx="4">
                  <c:v>0.86</c:v>
                </c:pt>
                <c:pt idx="5">
                  <c:v>0.9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19FD-4284-B281-30C66932DF65}"/>
            </c:ext>
          </c:extLst>
        </c:ser>
        <c:ser>
          <c:idx val="6"/>
          <c:order val="6"/>
          <c:tx>
            <c:strRef>
              <c:f>'PC3.01_Ind04 '!$B$18:$C$18</c:f>
              <c:strCache>
                <c:ptCount val="2"/>
                <c:pt idx="0">
                  <c:v>Física i 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'!$D$18:$I$18</c:f>
              <c:numCache>
                <c:formatCode>0%</c:formatCode>
                <c:ptCount val="6"/>
                <c:pt idx="0">
                  <c:v>0.96</c:v>
                </c:pt>
                <c:pt idx="1">
                  <c:v>0.85</c:v>
                </c:pt>
                <c:pt idx="2">
                  <c:v>1</c:v>
                </c:pt>
                <c:pt idx="3">
                  <c:v>0.92</c:v>
                </c:pt>
                <c:pt idx="4">
                  <c:v>0.93</c:v>
                </c:pt>
                <c:pt idx="5">
                  <c:v>0.87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19FD-4284-B281-30C66932DF65}"/>
            </c:ext>
          </c:extLst>
        </c:ser>
        <c:ser>
          <c:idx val="7"/>
          <c:order val="7"/>
          <c:tx>
            <c:strRef>
              <c:f>'PC3.01_Ind04 '!$B$19:$C$19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'!$D$19:$I$19</c:f>
              <c:numCache>
                <c:formatCode>0%</c:formatCode>
                <c:ptCount val="6"/>
                <c:pt idx="0">
                  <c:v>0.49</c:v>
                </c:pt>
                <c:pt idx="1">
                  <c:v>0.49</c:v>
                </c:pt>
                <c:pt idx="2">
                  <c:v>0.54</c:v>
                </c:pt>
                <c:pt idx="3">
                  <c:v>0.44</c:v>
                </c:pt>
                <c:pt idx="4">
                  <c:v>0.69310000000000005</c:v>
                </c:pt>
                <c:pt idx="5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FD-4284-B281-30C66932DF65}"/>
            </c:ext>
          </c:extLst>
        </c:ser>
        <c:ser>
          <c:idx val="8"/>
          <c:order val="8"/>
          <c:tx>
            <c:strRef>
              <c:f>'PC3.01_Ind04 '!$B$20:$C$20</c:f>
              <c:strCache>
                <c:ptCount val="2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'!$D$20:$I$20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0.7</c:v>
                </c:pt>
                <c:pt idx="2">
                  <c:v>0.86</c:v>
                </c:pt>
                <c:pt idx="3">
                  <c:v>0.88</c:v>
                </c:pt>
                <c:pt idx="4">
                  <c:v>0.88939999999999997</c:v>
                </c:pt>
                <c:pt idx="5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FD-4284-B281-30C66932DF65}"/>
            </c:ext>
          </c:extLst>
        </c:ser>
        <c:ser>
          <c:idx val="9"/>
          <c:order val="9"/>
          <c:tx>
            <c:strRef>
              <c:f>'PC3.01_Ind04 '!$B$21:$C$21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'!$D$21:$I$21</c:f>
              <c:numCache>
                <c:formatCode>0%</c:formatCode>
                <c:ptCount val="6"/>
                <c:pt idx="0">
                  <c:v>0.66</c:v>
                </c:pt>
                <c:pt idx="1">
                  <c:v>0.8</c:v>
                </c:pt>
                <c:pt idx="2">
                  <c:v>0.74</c:v>
                </c:pt>
                <c:pt idx="3">
                  <c:v>0.78</c:v>
                </c:pt>
                <c:pt idx="4">
                  <c:v>0.73199999999999998</c:v>
                </c:pt>
                <c:pt idx="5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FD-4284-B281-30C66932DF65}"/>
            </c:ext>
          </c:extLst>
        </c:ser>
        <c:ser>
          <c:idx val="10"/>
          <c:order val="10"/>
          <c:tx>
            <c:strRef>
              <c:f>'PC3.01_Ind04 '!$B$23:$C$23</c:f>
              <c:strCache>
                <c:ptCount val="2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'PC3.01_Ind04 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'PC3.01_Ind04 '!$D$23:$I$23</c:f>
              <c:numCache>
                <c:formatCode>0%</c:formatCode>
                <c:ptCount val="6"/>
                <c:pt idx="0">
                  <c:v>0.68</c:v>
                </c:pt>
                <c:pt idx="1">
                  <c:v>0.72</c:v>
                </c:pt>
                <c:pt idx="2">
                  <c:v>0.78</c:v>
                </c:pt>
                <c:pt idx="3">
                  <c:v>0.77</c:v>
                </c:pt>
                <c:pt idx="4">
                  <c:v>0.80940000000000001</c:v>
                </c:pt>
                <c:pt idx="5">
                  <c:v>0.72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19FD-4284-B281-30C66932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5902191"/>
        <c:axId val="1905885551"/>
      </c:barChart>
      <c:lineChart>
        <c:grouping val="standard"/>
        <c:varyColors val="0"/>
        <c:ser>
          <c:idx val="11"/>
          <c:order val="11"/>
          <c:tx>
            <c:strRef>
              <c:f>'PC3.01_Ind04 '!$D$12</c:f>
              <c:strCache>
                <c:ptCount val="1"/>
                <c:pt idx="0">
                  <c:v>2017/2018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'PC3.01_Ind04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'PC3.01_Ind04 '!$D$26:$H$26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FD-4284-B281-30C66932DF65}"/>
            </c:ext>
          </c:extLst>
        </c:ser>
        <c:ser>
          <c:idx val="12"/>
          <c:order val="12"/>
          <c:tx>
            <c:strRef>
              <c:f>'PC3.01_Ind04 '!$B$26:$C$26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'PC3.01_Ind04 '!$D$26:$I$26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9FD-4284-B281-30C66932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902191"/>
        <c:axId val="1905885551"/>
      </c:lineChart>
      <c:catAx>
        <c:axId val="190590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5885551"/>
        <c:crosses val="autoZero"/>
        <c:auto val="1"/>
        <c:lblAlgn val="ctr"/>
        <c:lblOffset val="100"/>
        <c:noMultiLvlLbl val="0"/>
      </c:catAx>
      <c:valAx>
        <c:axId val="190588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5902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522186395808569E-3"/>
          <c:y val="0.75514301096978276"/>
          <c:w val="0.99394778136041917"/>
          <c:h val="0.22776297193620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60502754679854"/>
          <c:y val="0.18347578347578347"/>
          <c:w val="0.72295362667810714"/>
          <c:h val="0.48243780424882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'PC3.01_Ind05'!$C$12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'PC3.01_Ind05'!$D$12:$H$12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'PC3.01_Ind05'!$D$12:$G$12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6A-4015-ADC6-7C76D0866AD1}"/>
            </c:ext>
          </c:extLst>
        </c:ser>
        <c:ser>
          <c:idx val="3"/>
          <c:order val="2"/>
          <c:tx>
            <c:strRef>
              <c:f>'PC3.01_Ind05'!#REF!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'PC3.01_Ind05'!$D$12:$H$12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'PC3.01_Ind05'!$D$16:$H$16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34.482758620689658</c:v>
                </c:pt>
                <c:pt idx="4" formatCode="0.00">
                  <c:v>-1.2820512820512819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D6A-4015-ADC6-7C76D086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5902191"/>
        <c:axId val="1905885551"/>
      </c:barChart>
      <c:lineChart>
        <c:grouping val="standard"/>
        <c:varyColors val="0"/>
        <c:ser>
          <c:idx val="2"/>
          <c:order val="1"/>
          <c:tx>
            <c:strRef>
              <c:f>'PC3.01_Ind05'!$B$15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'PC3.01_Ind05'!$D$12:$H$12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'PC3.01_Ind05'!$D$15:$H$15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D6A-4015-ADC6-7C76D086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902191"/>
        <c:axId val="1905885551"/>
      </c:lineChart>
      <c:catAx>
        <c:axId val="190590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5885551"/>
        <c:crosses val="autoZero"/>
        <c:auto val="1"/>
        <c:lblAlgn val="ctr"/>
        <c:lblOffset val="100"/>
        <c:noMultiLvlLbl val="0"/>
      </c:catAx>
      <c:valAx>
        <c:axId val="19058855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0590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 i="0" u="none" strike="noStrike" baseline="0">
                <a:effectLst/>
              </a:rPr>
              <a:t>PC3.02_Ind01. Valoració mitjana a l’afirmació “La tutorització ha estat útil i ha contribuït a millorar el meu aprenentatge” per titulació</a:t>
            </a:r>
            <a:endParaRPr lang="ca-E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'PC3.02_Ind01'!$B$30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'PC3.02_Ind01'!$C$30:$E$30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5AA-4851-A903-566BB9231BEE}"/>
            </c:ext>
          </c:extLst>
        </c:ser>
        <c:ser>
          <c:idx val="1"/>
          <c:order val="1"/>
          <c:tx>
            <c:strRef>
              <c:f>'PC3.02_Ind01'!$B$13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'PC3.02_Ind01'!$D$13:$H$13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3.4</c:v>
                </c:pt>
                <c:pt idx="4">
                  <c:v>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A-4851-A903-566BB9231BEE}"/>
            </c:ext>
          </c:extLst>
        </c:ser>
        <c:ser>
          <c:idx val="2"/>
          <c:order val="2"/>
          <c:tx>
            <c:strRef>
              <c:f>'PC3.02_Ind01'!$B$14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A-4851-A903-566BB9231BEE}"/>
            </c:ext>
          </c:extLst>
        </c:ser>
        <c:ser>
          <c:idx val="3"/>
          <c:order val="3"/>
          <c:tx>
            <c:strRef>
              <c:f>'PC3.02_Ind01'!$B$15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'PC3.02_Ind01'!$D$15:$H$15</c:f>
              <c:numCache>
                <c:formatCode>General</c:formatCode>
                <c:ptCount val="5"/>
                <c:pt idx="0">
                  <c:v>0</c:v>
                </c:pt>
                <c:pt idx="1">
                  <c:v>3.8</c:v>
                </c:pt>
                <c:pt idx="2">
                  <c:v>3.5</c:v>
                </c:pt>
                <c:pt idx="3">
                  <c:v>3</c:v>
                </c:pt>
                <c:pt idx="4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A-4851-A903-566BB9231BEE}"/>
            </c:ext>
          </c:extLst>
        </c:ser>
        <c:ser>
          <c:idx val="4"/>
          <c:order val="4"/>
          <c:tx>
            <c:strRef>
              <c:f>'PC3.02_Ind01'!$B$16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'PC3.02_Ind01'!$D$16:$H$16</c:f>
              <c:numCache>
                <c:formatCode>General</c:formatCode>
                <c:ptCount val="5"/>
                <c:pt idx="0">
                  <c:v>1.89</c:v>
                </c:pt>
                <c:pt idx="1">
                  <c:v>2.4300000000000002</c:v>
                </c:pt>
                <c:pt idx="2">
                  <c:v>2.62</c:v>
                </c:pt>
                <c:pt idx="3">
                  <c:v>2.5</c:v>
                </c:pt>
                <c:pt idx="4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A-4851-A903-566BB9231BEE}"/>
            </c:ext>
          </c:extLst>
        </c:ser>
        <c:ser>
          <c:idx val="5"/>
          <c:order val="5"/>
          <c:tx>
            <c:strRef>
              <c:f>'PC3.02_Ind01'!$B$17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A-4851-A903-566BB9231BEE}"/>
            </c:ext>
          </c:extLst>
        </c:ser>
        <c:ser>
          <c:idx val="6"/>
          <c:order val="6"/>
          <c:tx>
            <c:strRef>
              <c:f>'PC3.02_Ind01'!$B$18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'PC3.02_Ind01'!$D$18:$H$18</c:f>
              <c:numCache>
                <c:formatCode>General</c:formatCode>
                <c:ptCount val="5"/>
                <c:pt idx="0">
                  <c:v>2.5</c:v>
                </c:pt>
                <c:pt idx="1">
                  <c:v>3.29</c:v>
                </c:pt>
                <c:pt idx="2">
                  <c:v>0</c:v>
                </c:pt>
                <c:pt idx="3">
                  <c:v>3.5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AA-4851-A903-566BB9231BEE}"/>
            </c:ext>
          </c:extLst>
        </c:ser>
        <c:ser>
          <c:idx val="7"/>
          <c:order val="7"/>
          <c:tx>
            <c:strRef>
              <c:f>'PC3.02_Ind01'!$B$19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'PC3.02_Ind01'!$D$19:$H$19</c:f>
              <c:numCache>
                <c:formatCode>General</c:formatCode>
                <c:ptCount val="5"/>
                <c:pt idx="0">
                  <c:v>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AA-4851-A903-566BB9231BEE}"/>
            </c:ext>
          </c:extLst>
        </c:ser>
        <c:ser>
          <c:idx val="8"/>
          <c:order val="8"/>
          <c:tx>
            <c:strRef>
              <c:f>'PC3.02_Ind01'!$B$20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AA-4851-A903-566BB9231BEE}"/>
            </c:ext>
          </c:extLst>
        </c:ser>
        <c:ser>
          <c:idx val="9"/>
          <c:order val="9"/>
          <c:tx>
            <c:strRef>
              <c:f>'PC3.02_Ind01'!$B$21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'PC3.02_Ind01'!$D$21:$H$21</c:f>
              <c:numCache>
                <c:formatCode>General</c:formatCode>
                <c:ptCount val="5"/>
                <c:pt idx="0">
                  <c:v>3.3</c:v>
                </c:pt>
                <c:pt idx="1">
                  <c:v>3.07</c:v>
                </c:pt>
                <c:pt idx="2">
                  <c:v>3.09</c:v>
                </c:pt>
                <c:pt idx="3">
                  <c:v>2.4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AA-4851-A903-566BB9231BEE}"/>
            </c:ext>
          </c:extLst>
        </c:ser>
        <c:ser>
          <c:idx val="10"/>
          <c:order val="10"/>
          <c:tx>
            <c:strRef>
              <c:f>'PC3.02_Ind01'!$B$22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'PC3.02_Ind01'!$D$22:$H$22</c:f>
              <c:numCache>
                <c:formatCode>General</c:formatCode>
                <c:ptCount val="5"/>
                <c:pt idx="0">
                  <c:v>2.82</c:v>
                </c:pt>
                <c:pt idx="1">
                  <c:v>2.56</c:v>
                </c:pt>
                <c:pt idx="2">
                  <c:v>3.4</c:v>
                </c:pt>
                <c:pt idx="3">
                  <c:v>1.5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AA-4851-A903-566BB9231BEE}"/>
            </c:ext>
          </c:extLst>
        </c:ser>
        <c:ser>
          <c:idx val="11"/>
          <c:order val="11"/>
          <c:tx>
            <c:strRef>
              <c:f>'PC3.02_Ind01'!$B$22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'PC3.02_Ind01'!$D$23:$H$23</c:f>
              <c:numCache>
                <c:formatCode>General</c:formatCode>
                <c:ptCount val="5"/>
                <c:pt idx="0">
                  <c:v>3.23</c:v>
                </c:pt>
                <c:pt idx="1">
                  <c:v>3</c:v>
                </c:pt>
                <c:pt idx="2">
                  <c:v>3.25</c:v>
                </c:pt>
                <c:pt idx="3">
                  <c:v>3.75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AA-4851-A903-566BB923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5523824"/>
        <c:axId val="1349652096"/>
      </c:barChart>
      <c:lineChart>
        <c:grouping val="standard"/>
        <c:varyColors val="0"/>
        <c:ser>
          <c:idx val="12"/>
          <c:order val="12"/>
          <c:tx>
            <c:strRef>
              <c:f>'PC3.02_Ind01'!$B$26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'PC3.02_Ind01'!$D$12:$H$12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'PC3.02_Ind01'!$D$26:$H$26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AA-4851-A903-566BB923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523824"/>
        <c:axId val="1349652096"/>
      </c:lineChart>
      <c:catAx>
        <c:axId val="17955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9652096"/>
        <c:crosses val="autoZero"/>
        <c:auto val="1"/>
        <c:lblAlgn val="ctr"/>
        <c:lblOffset val="100"/>
        <c:noMultiLvlLbl val="0"/>
      </c:catAx>
      <c:valAx>
        <c:axId val="13496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9552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</c:legendEntry>
      <c:layout>
        <c:manualLayout>
          <c:xMode val="edge"/>
          <c:yMode val="edge"/>
          <c:x val="0.67580314613159986"/>
          <c:y val="0.17965271582431505"/>
          <c:w val="0.32419685386840025"/>
          <c:h val="0.76548931383577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PC3.03_Ind01 Nombre de convenis de Mobilitat (&gt; o = 100)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7486220679699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'PC3.03_Ind01'!$D$11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'PC3.03_Ind01'!$D$12:$G$12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'PC3.03_Ind01'!$D$12:$F$12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5-4C3F-9EC1-715813382801}"/>
            </c:ext>
          </c:extLst>
        </c:ser>
        <c:ser>
          <c:idx val="1"/>
          <c:order val="1"/>
          <c:tx>
            <c:strRef>
              <c:f>'PC3.03_Ind01'!$B$29</c:f>
              <c:strCache>
                <c:ptCount val="1"/>
                <c:pt idx="0">
                  <c:v>Total (ERASMUS+SICUE+EXCHANGE PROGRAM)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385-4C3F-9EC1-715813382801}"/>
              </c:ext>
            </c:extLst>
          </c:dPt>
          <c:cat>
            <c:strRef>
              <c:f>'PC3.03_Ind01'!$D$12:$G$12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'PC3.03_Ind01'!$D$29:$G$29</c:f>
              <c:numCache>
                <c:formatCode>General</c:formatCode>
                <c:ptCount val="4"/>
                <c:pt idx="0">
                  <c:v>304</c:v>
                </c:pt>
                <c:pt idx="1">
                  <c:v>318</c:v>
                </c:pt>
                <c:pt idx="2">
                  <c:v>324</c:v>
                </c:pt>
                <c:pt idx="3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5-4C3F-9EC1-71581338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5518559"/>
        <c:axId val="1358653519"/>
      </c:barChart>
      <c:lineChart>
        <c:grouping val="standard"/>
        <c:varyColors val="0"/>
        <c:ser>
          <c:idx val="2"/>
          <c:order val="2"/>
          <c:tx>
            <c:strRef>
              <c:f>'PC3.03_Ind01'!$B$30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'PC3.03_Ind01'!$D$12:$F$12</c:f>
              <c:strCache>
                <c:ptCount val="3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</c:strCache>
            </c:strRef>
          </c:cat>
          <c:val>
            <c:numRef>
              <c:f>'PC3.03_Ind01'!$D$30:$G$30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85-4C3F-9EC1-71581338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18559"/>
        <c:axId val="1358653519"/>
      </c:lineChart>
      <c:catAx>
        <c:axId val="70551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8653519"/>
        <c:crosses val="autoZero"/>
        <c:auto val="1"/>
        <c:lblAlgn val="ctr"/>
        <c:lblOffset val="100"/>
        <c:noMultiLvlLbl val="0"/>
      </c:catAx>
      <c:valAx>
        <c:axId val="13586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0551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600" b="1" i="0" u="none" strike="noStrike" baseline="0">
                <a:effectLst/>
              </a:rPr>
              <a:t>PC3.03_Ind02. Valoració mitjana a l’afirmació “Les accions de mobilitat que he realitzat han estat rellevants per al meu aprenentatge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0139107611548554E-2"/>
          <c:y val="6.4814814814814811E-2"/>
          <c:w val="0.9020831146106737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'PC3.03_Ind02'!$B$12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'PC3.03_Ind02'!$D$12:$H$12</c:f>
              <c:numCache>
                <c:formatCode>General</c:formatCode>
                <c:ptCount val="5"/>
                <c:pt idx="0">
                  <c:v>2.9</c:v>
                </c:pt>
                <c:pt idx="1">
                  <c:v>0</c:v>
                </c:pt>
                <c:pt idx="2">
                  <c:v>4.33</c:v>
                </c:pt>
                <c:pt idx="3">
                  <c:v>2.75</c:v>
                </c:pt>
                <c:pt idx="4">
                  <c:v>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D25-909C-EADBFABE95B0}"/>
            </c:ext>
          </c:extLst>
        </c:ser>
        <c:ser>
          <c:idx val="1"/>
          <c:order val="1"/>
          <c:tx>
            <c:strRef>
              <c:f>'PC3.03_Ind02'!$B$13</c:f>
              <c:strCache>
                <c:ptCount val="1"/>
                <c:pt idx="0">
                  <c:v>Ciències Ambientals + 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'PC3.03_Ind02'!$D$13:$H$13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3.8</c:v>
                </c:pt>
                <c:pt idx="3">
                  <c:v>3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D25-909C-EADBFABE95B0}"/>
            </c:ext>
          </c:extLst>
        </c:ser>
        <c:ser>
          <c:idx val="2"/>
          <c:order val="2"/>
          <c:tx>
            <c:strRef>
              <c:f>'PC3.03_Ind02'!$B$14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'PC3.03_Ind02'!$D$14:$H$14</c:f>
              <c:numCache>
                <c:formatCode>General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3.17</c:v>
                </c:pt>
                <c:pt idx="3">
                  <c:v>1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F-4D25-909C-EADBFABE95B0}"/>
            </c:ext>
          </c:extLst>
        </c:ser>
        <c:ser>
          <c:idx val="3"/>
          <c:order val="3"/>
          <c:tx>
            <c:strRef>
              <c:f>'PC3.03_Ind02'!$B$15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'PC3.03_Ind02'!$D$15:$H$15</c:f>
              <c:numCache>
                <c:formatCode>General</c:formatCode>
                <c:ptCount val="5"/>
                <c:pt idx="0">
                  <c:v>2.33</c:v>
                </c:pt>
                <c:pt idx="1">
                  <c:v>3.27</c:v>
                </c:pt>
                <c:pt idx="2">
                  <c:v>3.45</c:v>
                </c:pt>
                <c:pt idx="3">
                  <c:v>3.33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2F-4D25-909C-EADBFABE95B0}"/>
            </c:ext>
          </c:extLst>
        </c:ser>
        <c:ser>
          <c:idx val="4"/>
          <c:order val="4"/>
          <c:tx>
            <c:strRef>
              <c:f>'PC3.03_Ind02'!$B$16</c:f>
              <c:strCache>
                <c:ptCount val="1"/>
                <c:pt idx="0">
                  <c:v>Física + 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'PC3.03_Ind02'!$D$16:$H$16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2F-4D25-909C-EADBFABE95B0}"/>
            </c:ext>
          </c:extLst>
        </c:ser>
        <c:ser>
          <c:idx val="5"/>
          <c:order val="5"/>
          <c:tx>
            <c:strRef>
              <c:f>'PC3.03_Ind02'!$B$17</c:f>
              <c:strCache>
                <c:ptCount val="1"/>
                <c:pt idx="0">
                  <c:v>Física +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'PC3.03_Ind02'!$D$17:$H$17</c:f>
              <c:numCache>
                <c:formatCode>General</c:formatCode>
                <c:ptCount val="5"/>
                <c:pt idx="0">
                  <c:v>2.83</c:v>
                </c:pt>
                <c:pt idx="1">
                  <c:v>2</c:v>
                </c:pt>
                <c:pt idx="2">
                  <c:v>0</c:v>
                </c:pt>
                <c:pt idx="3">
                  <c:v>2.33</c:v>
                </c:pt>
                <c:pt idx="4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2F-4D25-909C-EADBFABE95B0}"/>
            </c:ext>
          </c:extLst>
        </c:ser>
        <c:ser>
          <c:idx val="6"/>
          <c:order val="6"/>
          <c:tx>
            <c:strRef>
              <c:f>'PC3.03_Ind02'!$B$18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'PC3.03_Ind02'!$D$18:$H$18</c:f>
              <c:numCache>
                <c:formatCode>General</c:formatCode>
                <c:ptCount val="5"/>
                <c:pt idx="0">
                  <c:v>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F-4D25-909C-EADBFABE95B0}"/>
            </c:ext>
          </c:extLst>
        </c:ser>
        <c:ser>
          <c:idx val="7"/>
          <c:order val="7"/>
          <c:tx>
            <c:strRef>
              <c:f>'PC3.03_Ind02'!$B$19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2F-4D25-909C-EADBFABE95B0}"/>
            </c:ext>
          </c:extLst>
        </c:ser>
        <c:ser>
          <c:idx val="8"/>
          <c:order val="8"/>
          <c:tx>
            <c:strRef>
              <c:f>'PC3.03_Ind02'!$B$20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'PC3.03_Ind02'!$D$20:$H$20</c:f>
              <c:numCache>
                <c:formatCode>General</c:formatCode>
                <c:ptCount val="5"/>
                <c:pt idx="0">
                  <c:v>3.22</c:v>
                </c:pt>
                <c:pt idx="1">
                  <c:v>3.2</c:v>
                </c:pt>
                <c:pt idx="2">
                  <c:v>2.91</c:v>
                </c:pt>
                <c:pt idx="3">
                  <c:v>2.5</c:v>
                </c:pt>
                <c:pt idx="4">
                  <c:v>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2F-4D25-909C-EADBFABE95B0}"/>
            </c:ext>
          </c:extLst>
        </c:ser>
        <c:ser>
          <c:idx val="9"/>
          <c:order val="9"/>
          <c:tx>
            <c:strRef>
              <c:f>'PC3.03_Ind02'!$B$21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'PC3.03_Ind02'!$D$21:$H$21</c:f>
              <c:numCache>
                <c:formatCode>General</c:formatCode>
                <c:ptCount val="5"/>
                <c:pt idx="0">
                  <c:v>3.5</c:v>
                </c:pt>
                <c:pt idx="1">
                  <c:v>2.33</c:v>
                </c:pt>
                <c:pt idx="2">
                  <c:v>3.85</c:v>
                </c:pt>
                <c:pt idx="3">
                  <c:v>2.5</c:v>
                </c:pt>
                <c:pt idx="4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2F-4D25-909C-EADBFABE95B0}"/>
            </c:ext>
          </c:extLst>
        </c:ser>
        <c:ser>
          <c:idx val="10"/>
          <c:order val="10"/>
          <c:tx>
            <c:strRef>
              <c:f>'PC3.03_Ind02'!$B$22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'PC3.03_Ind02'!$D$11:$I$11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'PC3.03_Ind02'!$D$22:$H$22</c:f>
              <c:numCache>
                <c:formatCode>General</c:formatCode>
                <c:ptCount val="5"/>
                <c:pt idx="0">
                  <c:v>3.19</c:v>
                </c:pt>
                <c:pt idx="1">
                  <c:v>2.67</c:v>
                </c:pt>
                <c:pt idx="2">
                  <c:v>1.92</c:v>
                </c:pt>
                <c:pt idx="3">
                  <c:v>3.33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2F-4D25-909C-EADBFABE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08351"/>
        <c:axId val="844725519"/>
      </c:barChart>
      <c:lineChart>
        <c:grouping val="standard"/>
        <c:varyColors val="0"/>
        <c:ser>
          <c:idx val="11"/>
          <c:order val="11"/>
          <c:tx>
            <c:strRef>
              <c:f>'PC3.03_Ind02'!$B$23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chemeClr val="accent2">
                  <a:alpha val="63000"/>
                </a:scheme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chemeClr val="accent2">
                    <a:alpha val="63000"/>
                  </a:schemeClr>
                </a:outerShdw>
              </a:effectLst>
            </c:spPr>
          </c:marker>
          <c:dPt>
            <c:idx val="0"/>
            <c:marker>
              <c:symbol val="circle"/>
              <c:size val="6"/>
              <c:spPr>
                <a:solidFill>
                  <a:schemeClr val="accent2"/>
                </a:solidFill>
                <a:ln w="41275" cap="rnd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7150" dist="19050" dir="5400000" algn="ctr" rotWithShape="0">
                    <a:schemeClr val="accent2">
                      <a:alpha val="63000"/>
                    </a:scheme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52F-4D25-909C-EADBFABE95B0}"/>
              </c:ext>
            </c:extLst>
          </c:dPt>
          <c:val>
            <c:numRef>
              <c:f>'PC3.03_Ind02'!$D$25:$H$25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F52F-4D25-909C-EADBFABE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08351"/>
        <c:axId val="844725519"/>
      </c:lineChart>
      <c:catAx>
        <c:axId val="70550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4725519"/>
        <c:crosses val="autoZero"/>
        <c:auto val="1"/>
        <c:lblAlgn val="ctr"/>
        <c:lblOffset val="100"/>
        <c:noMultiLvlLbl val="0"/>
      </c:catAx>
      <c:valAx>
        <c:axId val="84472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0550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4363046345549975E-2"/>
          <c:y val="9.8712146594121891E-2"/>
          <c:w val="0.83314702509556882"/>
          <c:h val="0.1419686968536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PC3.03_Ind03 Percentatge d'alumnat estranger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7486220679699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'PC3.03_Ind03'!$C$11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'PC3.03_Ind03'!$B$11:$I$11</c15:sqref>
                  </c15:fullRef>
                </c:ext>
              </c:extLst>
              <c:f>('PC3.03_Ind03'!$B$11,'PC3.03_Ind03'!$D$11,'PC3.03_Ind03'!$F$11,'PC3.03_Ind03'!$H$11)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'PC3.03_Ind03'!$B$11:$I$11</c15:sqref>
                  </c15:fullRef>
                </c:ext>
              </c:extLst>
              <c:f>('PC3.03_Ind03'!$B$11,'PC3.03_Ind03'!$D$11,'PC3.03_Ind03'!$F$11,'PC3.03_Ind03'!$H$11)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8-4A72-A964-4F3A7AC72B31}"/>
            </c:ext>
          </c:extLst>
        </c:ser>
        <c:ser>
          <c:idx val="1"/>
          <c:order val="1"/>
          <c:tx>
            <c:strRef>
              <c:f>'PC3.03_Ind03'!$A$61</c:f>
              <c:strCache>
                <c:ptCount val="1"/>
                <c:pt idx="0">
                  <c:v> Total 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'PC3.03_Ind03'!$B$11:$I$11</c15:sqref>
                  </c15:fullRef>
                </c:ext>
              </c:extLst>
              <c:f>('PC3.03_Ind03'!$B$11,'PC3.03_Ind03'!$D$11,'PC3.03_Ind03'!$F$11,'PC3.03_Ind03'!$H$11)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'PC3.03_Ind03'!$C$61:$I$61</c15:sqref>
                  </c15:fullRef>
                </c:ext>
              </c:extLst>
              <c:f>('PC3.03_Ind03'!$C$61,'PC3.03_Ind03'!$E$61,'PC3.03_Ind03'!$G$61,'PC3.03_Ind03'!$I$61)</c:f>
              <c:numCache>
                <c:formatCode>General</c:formatCode>
                <c:ptCount val="4"/>
                <c:pt idx="0">
                  <c:v>6.8181818180000002</c:v>
                </c:pt>
                <c:pt idx="1">
                  <c:v>7.0843373500000002</c:v>
                </c:pt>
                <c:pt idx="2">
                  <c:v>6.9531627199999999</c:v>
                </c:pt>
                <c:pt idx="3">
                  <c:v>7.6737451739999996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8-4A72-A964-4F3A7AC7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18559"/>
        <c:axId val="1358653519"/>
      </c:barChart>
      <c:lineChart>
        <c:grouping val="stacked"/>
        <c:varyColors val="0"/>
        <c:ser>
          <c:idx val="2"/>
          <c:order val="2"/>
          <c:tx>
            <c:strRef>
              <c:f>'PC3.03_Ind03'!$A$63</c:f>
              <c:strCache>
                <c:ptCount val="1"/>
                <c:pt idx="0">
                  <c:v>Valor objectiu &lt;10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'PC3.03_Ind03'!$B$11:$I$11</c15:sqref>
                  </c15:fullRef>
                </c:ext>
              </c:extLst>
              <c:f>('PC3.03_Ind03'!$B$11,'PC3.03_Ind03'!$D$11,'PC3.03_Ind03'!$F$11,'PC3.03_Ind03'!$H$11)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'PC3.03_Ind03'!$B$63:$I$63</c15:sqref>
                  </c15:fullRef>
                </c:ext>
              </c:extLst>
              <c:f>('PC3.03_Ind03'!$B$63,'PC3.03_Ind03'!$D$63,'PC3.03_Ind03'!$F$63,'PC3.03_Ind03'!$H$63)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18-4A72-A964-4F3A7AC7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18559"/>
        <c:axId val="1358653519"/>
      </c:lineChart>
      <c:catAx>
        <c:axId val="70551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8653519"/>
        <c:crosses val="autoZero"/>
        <c:auto val="1"/>
        <c:lblAlgn val="ctr"/>
        <c:lblOffset val="100"/>
        <c:noMultiLvlLbl val="0"/>
      </c:catAx>
      <c:valAx>
        <c:axId val="1358653519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0551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rgbClr val="FFFFFF">
                    <a:lumMod val="95000"/>
                  </a:srgb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PC3.03_Ind04 </a:t>
            </a:r>
            <a:r>
              <a:rPr lang="ca-ES" sz="1800" b="1">
                <a:effectLst/>
              </a:rPr>
              <a:t>Percentatge d’alumnat rebut per mitjà de programes de mobilitat (Incoming_Graus)</a:t>
            </a:r>
            <a:endParaRPr lang="ca-ES" sz="18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FFFFFF">
                    <a:lumMod val="95000"/>
                  </a:srgbClr>
                </a:solidFill>
              </a:defRPr>
            </a:pPr>
            <a:r>
              <a:rPr lang="ca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 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7486220679699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rgbClr val="FFFFFF">
                  <a:lumMod val="95000"/>
                </a:srgb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'PC3.03_Ind04'!$A$19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44-4792-AED1-320B29A4B297}"/>
              </c:ext>
            </c:extLst>
          </c:dPt>
          <c:cat>
            <c:strRef>
              <c:f>'PC3.03_Ind04'!#REF!</c:f>
              <c:strCache>
                <c:ptCount val="1"/>
                <c:pt idx="0">
                  <c:v>#¡REF!</c:v>
                </c:pt>
              </c:strCache>
            </c:strRef>
          </c:cat>
          <c:val>
            <c:numRef>
              <c:f>'PC3.03_Ind04'!$I$32:$L$32</c:f>
              <c:numCache>
                <c:formatCode>General</c:formatCode>
                <c:ptCount val="4"/>
                <c:pt idx="0">
                  <c:v>2.5096530000000001</c:v>
                </c:pt>
                <c:pt idx="1">
                  <c:v>2.5108640000000002</c:v>
                </c:pt>
                <c:pt idx="2">
                  <c:v>1.1566270000000001</c:v>
                </c:pt>
                <c:pt idx="3">
                  <c:v>2.575758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4-4792-AED1-320B29A4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5518559"/>
        <c:axId val="1358653519"/>
      </c:barChart>
      <c:lineChart>
        <c:grouping val="stacked"/>
        <c:varyColors val="0"/>
        <c:ser>
          <c:idx val="0"/>
          <c:order val="0"/>
          <c:tx>
            <c:strRef>
              <c:f>'PC3.03_Ind04'!$H$23</c:f>
              <c:strCache>
                <c:ptCount val="1"/>
                <c:pt idx="0">
                  <c:v>Curs acadèmic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'PC3.03_Ind04'!$I$23:$L$23</c:f>
              <c:strCache>
                <c:ptCount val="4"/>
                <c:pt idx="0">
                  <c:v>2022/23</c:v>
                </c:pt>
                <c:pt idx="1">
                  <c:v>2021/22</c:v>
                </c:pt>
                <c:pt idx="2">
                  <c:v>2020/21</c:v>
                </c:pt>
                <c:pt idx="3">
                  <c:v>2019/20</c:v>
                </c:pt>
              </c:strCache>
            </c:strRef>
          </c:cat>
          <c:val>
            <c:numRef>
              <c:f>'PC3.03_Ind04'!$I$23:$L$23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44-4792-AED1-320B29A4B297}"/>
            </c:ext>
          </c:extLst>
        </c:ser>
        <c:ser>
          <c:idx val="2"/>
          <c:order val="2"/>
          <c:tx>
            <c:strRef>
              <c:f>'PC3.03_Ind04'!$H$33</c:f>
              <c:strCache>
                <c:ptCount val="1"/>
                <c:pt idx="0">
                  <c:v>Objectiu &lt;3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'PC3.03_Ind04'!$I$23:$L$23</c:f>
              <c:strCache>
                <c:ptCount val="4"/>
                <c:pt idx="0">
                  <c:v>2022/23</c:v>
                </c:pt>
                <c:pt idx="1">
                  <c:v>2021/22</c:v>
                </c:pt>
                <c:pt idx="2">
                  <c:v>2020/21</c:v>
                </c:pt>
                <c:pt idx="3">
                  <c:v>2019/20</c:v>
                </c:pt>
              </c:strCache>
            </c:strRef>
          </c:cat>
          <c:val>
            <c:numRef>
              <c:f>'PC3.03_Ind04'!$I$33:$L$33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44-4792-AED1-320B29A4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18559"/>
        <c:axId val="1358653519"/>
      </c:lineChart>
      <c:catAx>
        <c:axId val="70551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8653519"/>
        <c:crosses val="autoZero"/>
        <c:auto val="1"/>
        <c:lblAlgn val="ctr"/>
        <c:lblOffset val="100"/>
        <c:noMultiLvlLbl val="0"/>
      </c:catAx>
      <c:valAx>
        <c:axId val="13586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0551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rgbClr val="FFFFFF">
                    <a:lumMod val="95000"/>
                  </a:srgb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PC3.03_Ind05  </a:t>
            </a:r>
            <a:r>
              <a:rPr lang="ca-ES" sz="1800" b="1">
                <a:effectLst/>
              </a:rPr>
              <a:t>Percentatge d’alumnat sortint per mitjà de programes de mobilitat (outgoing_Graus)</a:t>
            </a:r>
            <a:endParaRPr lang="ca-ES" sz="18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FFFFFF">
                    <a:lumMod val="95000"/>
                  </a:srgbClr>
                </a:solidFill>
              </a:defRPr>
            </a:pPr>
            <a:endParaRPr lang="ca-ES">
              <a:effectLst/>
            </a:endParaRPr>
          </a:p>
        </c:rich>
      </c:tx>
      <c:layout>
        <c:manualLayout>
          <c:xMode val="edge"/>
          <c:yMode val="edge"/>
          <c:x val="0.137486220679699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rgbClr val="FFFFFF">
                  <a:lumMod val="95000"/>
                </a:srgb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'PC3.03_Ind05'!$R$12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'PC3.03_Ind04'!#REF!</c:f>
              <c:strCache>
                <c:ptCount val="1"/>
                <c:pt idx="0">
                  <c:v>#¡REF!</c:v>
                </c:pt>
              </c:strCache>
              <c:extLst xmlns:c15="http://schemas.microsoft.com/office/drawing/2012/chart"/>
            </c:strRef>
          </c:cat>
          <c:val>
            <c:numRef>
              <c:f>'PC3.03_Ind05'!$S$12:$V$12</c:f>
              <c:numCache>
                <c:formatCode>General</c:formatCode>
                <c:ptCount val="4"/>
                <c:pt idx="0">
                  <c:v>6.08</c:v>
                </c:pt>
                <c:pt idx="1">
                  <c:v>5.79</c:v>
                </c:pt>
                <c:pt idx="2">
                  <c:v>2.31</c:v>
                </c:pt>
                <c:pt idx="3">
                  <c:v>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C7-46A3-A4F9-422210CF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5518559"/>
        <c:axId val="1358653519"/>
      </c:barChart>
      <c:lineChart>
        <c:grouping val="stacked"/>
        <c:varyColors val="0"/>
        <c:ser>
          <c:idx val="0"/>
          <c:order val="0"/>
          <c:tx>
            <c:strRef>
              <c:f>'PC3.03_Ind05'!$H$27</c:f>
              <c:strCache>
                <c:ptCount val="1"/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'PC3.03_Ind05'!$S$11:$V$11</c:f>
              <c:strCache>
                <c:ptCount val="4"/>
                <c:pt idx="0">
                  <c:v>2022/2023</c:v>
                </c:pt>
                <c:pt idx="1">
                  <c:v>2021/2022</c:v>
                </c:pt>
                <c:pt idx="2">
                  <c:v>2020/2021</c:v>
                </c:pt>
                <c:pt idx="3">
                  <c:v>2019/2020</c:v>
                </c:pt>
              </c:strCache>
            </c:strRef>
          </c:cat>
          <c:val>
            <c:numRef>
              <c:f>'PC3.03_Ind05'!$I$27:$L$27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C7-46A3-A4F9-422210CF9993}"/>
            </c:ext>
          </c:extLst>
        </c:ser>
        <c:ser>
          <c:idx val="2"/>
          <c:order val="2"/>
          <c:tx>
            <c:strRef>
              <c:f>'PC3.03_Ind05'!$R$13</c:f>
              <c:strCache>
                <c:ptCount val="1"/>
                <c:pt idx="0">
                  <c:v>Valor objectiu &lt;6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'PC3.03_Ind05'!$S$11:$V$11</c:f>
              <c:strCache>
                <c:ptCount val="4"/>
                <c:pt idx="0">
                  <c:v>2022/2023</c:v>
                </c:pt>
                <c:pt idx="1">
                  <c:v>2021/2022</c:v>
                </c:pt>
                <c:pt idx="2">
                  <c:v>2020/2021</c:v>
                </c:pt>
                <c:pt idx="3">
                  <c:v>2019/2020</c:v>
                </c:pt>
              </c:strCache>
            </c:strRef>
          </c:cat>
          <c:val>
            <c:numRef>
              <c:f>'PC3.03_Ind05'!$S$13:$V$13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C7-46A3-A4F9-422210CF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18559"/>
        <c:axId val="1358653519"/>
      </c:lineChart>
      <c:catAx>
        <c:axId val="70551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8653519"/>
        <c:crosses val="autoZero"/>
        <c:auto val="1"/>
        <c:lblAlgn val="ctr"/>
        <c:lblOffset val="100"/>
        <c:noMultiLvlLbl val="0"/>
      </c:catAx>
      <c:valAx>
        <c:axId val="13586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0551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PE1.01_Ind02.  Percentatge de propostes de millora implementades </a:t>
            </a:r>
            <a:r>
              <a:rPr lang="es-ES" sz="1200" b="1" i="0" u="none" strike="sngStrike" baseline="0">
                <a:effectLst/>
              </a:rPr>
              <a:t>,</a:t>
            </a:r>
            <a:r>
              <a:rPr lang="es-ES" sz="1200" b="1" i="0" u="none" strike="noStrike" baseline="0">
                <a:effectLst/>
              </a:rPr>
              <a:t> per curs acadèmic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'PE1.01_Ind04 '!$B$12:$C$12</c:f>
              <c:strCache>
                <c:ptCount val="2"/>
                <c:pt idx="0">
                  <c:v>Valor real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'PE1.01_Ind04 '!$H$11:$I$11</c:f>
              <c:strCache>
                <c:ptCount val="2"/>
                <c:pt idx="0">
                  <c:v>2021/2022</c:v>
                </c:pt>
                <c:pt idx="1">
                  <c:v>2022/2023</c:v>
                </c:pt>
              </c:strCache>
            </c:strRef>
          </c:cat>
          <c:val>
            <c:numRef>
              <c:f>'PE1.01_Ind04 '!$H$12:$I$12</c:f>
              <c:numCache>
                <c:formatCode>0%</c:formatCode>
                <c:ptCount val="2"/>
                <c:pt idx="0">
                  <c:v>0.9</c:v>
                </c:pt>
                <c:pt idx="1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E-46E1-A752-FF377DD78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9502592"/>
        <c:axId val="1289896992"/>
      </c:barChart>
      <c:lineChart>
        <c:grouping val="standard"/>
        <c:varyColors val="0"/>
        <c:ser>
          <c:idx val="1"/>
          <c:order val="1"/>
          <c:tx>
            <c:strRef>
              <c:f>'PE1.01_Ind04 '!$B$13:$C$13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'PE1.01_Ind04 '!$H$11:$I$11</c:f>
              <c:strCache>
                <c:ptCount val="2"/>
                <c:pt idx="0">
                  <c:v>2021/2022</c:v>
                </c:pt>
                <c:pt idx="1">
                  <c:v>2022/2023</c:v>
                </c:pt>
              </c:strCache>
            </c:strRef>
          </c:cat>
          <c:val>
            <c:numRef>
              <c:f>'PE1.01_Ind04 '!$H$13:$I$13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E-46E1-A752-FF377DD78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502592"/>
        <c:axId val="1289896992"/>
      </c:lineChart>
      <c:catAx>
        <c:axId val="14995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9896992"/>
        <c:crosses val="autoZero"/>
        <c:auto val="1"/>
        <c:lblAlgn val="ctr"/>
        <c:lblOffset val="100"/>
        <c:noMultiLvlLbl val="0"/>
      </c:catAx>
      <c:valAx>
        <c:axId val="12898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95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PC3.04_Ind01. Taxa de rendiment per curs acadèmic i titulació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'PC3.04_Ind01'!$B$36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'PC3.04_Ind01'!$C$36:$E$36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8EE-4E72-8FD7-708A0ECBF79C}"/>
            </c:ext>
          </c:extLst>
        </c:ser>
        <c:ser>
          <c:idx val="1"/>
          <c:order val="1"/>
          <c:tx>
            <c:strRef>
              <c:f>'PC3.04_Ind01'!$C$12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E-4E72-8FD7-708A0ECBF79C}"/>
            </c:ext>
          </c:extLst>
        </c:ser>
        <c:ser>
          <c:idx val="2"/>
          <c:order val="2"/>
          <c:tx>
            <c:strRef>
              <c:f>'PC3.04_Ind01'!$B$13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'PC3.04_Ind01'!$D$13:$I$13</c:f>
              <c:numCache>
                <c:formatCode>0%</c:formatCode>
                <c:ptCount val="6"/>
                <c:pt idx="0">
                  <c:v>0.85</c:v>
                </c:pt>
                <c:pt idx="1">
                  <c:v>0.87</c:v>
                </c:pt>
                <c:pt idx="2">
                  <c:v>0.93</c:v>
                </c:pt>
                <c:pt idx="3">
                  <c:v>0.89</c:v>
                </c:pt>
                <c:pt idx="4">
                  <c:v>0.87880000000000003</c:v>
                </c:pt>
                <c:pt idx="5">
                  <c:v>0.90600000000000003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E-4E72-8FD7-708A0ECBF79C}"/>
            </c:ext>
          </c:extLst>
        </c:ser>
        <c:ser>
          <c:idx val="3"/>
          <c:order val="3"/>
          <c:tx>
            <c:strRef>
              <c:f>'PC3.04_Ind01'!$B$14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'PC3.04_Ind01'!$D$14:$I$14</c:f>
              <c:numCache>
                <c:formatCode>0%</c:formatCode>
                <c:ptCount val="6"/>
                <c:pt idx="0">
                  <c:v>0.9</c:v>
                </c:pt>
                <c:pt idx="1">
                  <c:v>0.92</c:v>
                </c:pt>
                <c:pt idx="2">
                  <c:v>0.95</c:v>
                </c:pt>
                <c:pt idx="3">
                  <c:v>0.92</c:v>
                </c:pt>
                <c:pt idx="4">
                  <c:v>0.91500000000000004</c:v>
                </c:pt>
                <c:pt idx="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EE-4E72-8FD7-708A0ECBF79C}"/>
            </c:ext>
          </c:extLst>
        </c:ser>
        <c:ser>
          <c:idx val="4"/>
          <c:order val="4"/>
          <c:tx>
            <c:strRef>
              <c:f>'PC3.04_Ind01'!$B$15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'PC3.04_Ind01'!$D$15:$I$15</c:f>
              <c:numCache>
                <c:formatCode>0%</c:formatCode>
                <c:ptCount val="6"/>
                <c:pt idx="0">
                  <c:v>0.75</c:v>
                </c:pt>
                <c:pt idx="1">
                  <c:v>0.79</c:v>
                </c:pt>
                <c:pt idx="2">
                  <c:v>0.78</c:v>
                </c:pt>
                <c:pt idx="3">
                  <c:v>0.93</c:v>
                </c:pt>
                <c:pt idx="4">
                  <c:v>0.80500000000000005</c:v>
                </c:pt>
                <c:pt idx="5">
                  <c:v>0.83509999999999995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E-4E72-8FD7-708A0ECBF79C}"/>
            </c:ext>
          </c:extLst>
        </c:ser>
        <c:ser>
          <c:idx val="5"/>
          <c:order val="5"/>
          <c:tx>
            <c:strRef>
              <c:f>'PC3.04_Ind01'!$B$16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'PC3.04_Ind01'!$D$16:$I$16</c:f>
              <c:numCache>
                <c:formatCode>0%</c:formatCode>
                <c:ptCount val="6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  <c:pt idx="4">
                  <c:v>0.875</c:v>
                </c:pt>
                <c:pt idx="5">
                  <c:v>0.84499999999999997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EE-4E72-8FD7-708A0ECBF79C}"/>
            </c:ext>
          </c:extLst>
        </c:ser>
        <c:ser>
          <c:idx val="6"/>
          <c:order val="6"/>
          <c:tx>
            <c:strRef>
              <c:f>'PC3.04_Ind01'!$B$17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'PC3.04_Ind01'!$D$17:$I$17</c:f>
              <c:numCache>
                <c:formatCode>0%</c:formatCode>
                <c:ptCount val="6"/>
                <c:pt idx="0">
                  <c:v>0.94</c:v>
                </c:pt>
                <c:pt idx="1">
                  <c:v>0.94</c:v>
                </c:pt>
                <c:pt idx="2">
                  <c:v>0.96</c:v>
                </c:pt>
                <c:pt idx="3">
                  <c:v>0.94</c:v>
                </c:pt>
                <c:pt idx="4">
                  <c:v>0.94</c:v>
                </c:pt>
                <c:pt idx="5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EE-4E72-8FD7-708A0ECBF79C}"/>
            </c:ext>
          </c:extLst>
        </c:ser>
        <c:ser>
          <c:idx val="7"/>
          <c:order val="7"/>
          <c:tx>
            <c:strRef>
              <c:f>'PC3.04_Ind01'!$B$18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'PC3.04_Ind01'!$D$18:$I$18</c:f>
              <c:numCache>
                <c:formatCode>0%</c:formatCode>
                <c:ptCount val="6"/>
                <c:pt idx="0">
                  <c:v>0.93</c:v>
                </c:pt>
                <c:pt idx="1">
                  <c:v>0.95</c:v>
                </c:pt>
                <c:pt idx="2">
                  <c:v>0.97</c:v>
                </c:pt>
                <c:pt idx="3" formatCode="General">
                  <c:v>0</c:v>
                </c:pt>
                <c:pt idx="4">
                  <c:v>0.94499999999999995</c:v>
                </c:pt>
                <c:pt idx="5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EE-4E72-8FD7-708A0ECBF79C}"/>
            </c:ext>
          </c:extLst>
        </c:ser>
        <c:ser>
          <c:idx val="8"/>
          <c:order val="8"/>
          <c:tx>
            <c:strRef>
              <c:f>'PC3.04_Ind01'!$B$19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'PC3.04_Ind01'!$D$20:$I$20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0.7</c:v>
                </c:pt>
                <c:pt idx="2">
                  <c:v>0.86</c:v>
                </c:pt>
                <c:pt idx="3">
                  <c:v>0.88</c:v>
                </c:pt>
                <c:pt idx="4">
                  <c:v>0.89</c:v>
                </c:pt>
                <c:pt idx="5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EE-4E72-8FD7-708A0ECBF79C}"/>
            </c:ext>
          </c:extLst>
        </c:ser>
        <c:ser>
          <c:idx val="9"/>
          <c:order val="9"/>
          <c:tx>
            <c:strRef>
              <c:f>'PC3.04_Ind01'!$B$20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'PC3.04_Ind01'!$D$20:$H$20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0.7</c:v>
                </c:pt>
                <c:pt idx="2">
                  <c:v>0.86</c:v>
                </c:pt>
                <c:pt idx="3">
                  <c:v>0.88</c:v>
                </c:pt>
                <c:pt idx="4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EE-4E72-8FD7-708A0ECBF79C}"/>
            </c:ext>
          </c:extLst>
        </c:ser>
        <c:ser>
          <c:idx val="10"/>
          <c:order val="10"/>
          <c:tx>
            <c:strRef>
              <c:f>'PC3.04_Ind01'!$B$20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'PC3.04_Ind01'!$D$20:$I$20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0.7</c:v>
                </c:pt>
                <c:pt idx="2">
                  <c:v>0.86</c:v>
                </c:pt>
                <c:pt idx="3">
                  <c:v>0.88</c:v>
                </c:pt>
                <c:pt idx="4">
                  <c:v>0.89</c:v>
                </c:pt>
                <c:pt idx="5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EE-4E72-8FD7-708A0ECBF79C}"/>
            </c:ext>
          </c:extLst>
        </c:ser>
        <c:ser>
          <c:idx val="11"/>
          <c:order val="11"/>
          <c:tx>
            <c:strRef>
              <c:f>'PC3.04_Ind01'!$B$21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'PC3.04_Ind01'!$D$21:$I$21</c:f>
              <c:numCache>
                <c:formatCode>0%</c:formatCode>
                <c:ptCount val="6"/>
                <c:pt idx="0">
                  <c:v>0.72</c:v>
                </c:pt>
                <c:pt idx="1">
                  <c:v>0.75</c:v>
                </c:pt>
                <c:pt idx="2">
                  <c:v>0.81</c:v>
                </c:pt>
                <c:pt idx="3">
                  <c:v>0.83</c:v>
                </c:pt>
                <c:pt idx="4">
                  <c:v>0.81499999999999995</c:v>
                </c:pt>
                <c:pt idx="5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EE-4E72-8FD7-708A0ECBF79C}"/>
            </c:ext>
          </c:extLst>
        </c:ser>
        <c:ser>
          <c:idx val="12"/>
          <c:order val="12"/>
          <c:tx>
            <c:strRef>
              <c:f>'PC3.04_Ind01'!$B$22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'PC3.04_Ind01'!$D$22:$H$22</c:f>
              <c:numCache>
                <c:formatCode>0%</c:formatCode>
                <c:ptCount val="5"/>
                <c:pt idx="0">
                  <c:v>0.88</c:v>
                </c:pt>
                <c:pt idx="1">
                  <c:v>0.84</c:v>
                </c:pt>
                <c:pt idx="2">
                  <c:v>0.9</c:v>
                </c:pt>
                <c:pt idx="3">
                  <c:v>0.84</c:v>
                </c:pt>
                <c:pt idx="4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EE-4E72-8FD7-708A0ECBF79C}"/>
            </c:ext>
          </c:extLst>
        </c:ser>
        <c:ser>
          <c:idx val="13"/>
          <c:order val="13"/>
          <c:tx>
            <c:strRef>
              <c:f>'PC3.04_Ind01'!$B$23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'PC3.04_Ind01'!$D$23:$I$23</c:f>
              <c:numCache>
                <c:formatCode>0%</c:formatCode>
                <c:ptCount val="6"/>
                <c:pt idx="0">
                  <c:v>0.76</c:v>
                </c:pt>
                <c:pt idx="1">
                  <c:v>0.78</c:v>
                </c:pt>
                <c:pt idx="2">
                  <c:v>0.81</c:v>
                </c:pt>
                <c:pt idx="3">
                  <c:v>0.76</c:v>
                </c:pt>
                <c:pt idx="4">
                  <c:v>0.76</c:v>
                </c:pt>
                <c:pt idx="5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EE-4E72-8FD7-708A0ECBF79C}"/>
            </c:ext>
          </c:extLst>
        </c:ser>
        <c:ser>
          <c:idx val="14"/>
          <c:order val="14"/>
          <c:tx>
            <c:strRef>
              <c:f>'PC3.04_Ind01'!$B$24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'PC3.04_Ind01'!$D$24:$I$24</c:f>
              <c:numCache>
                <c:formatCode>0%</c:formatCode>
                <c:ptCount val="6"/>
                <c:pt idx="0">
                  <c:v>0.94</c:v>
                </c:pt>
                <c:pt idx="1">
                  <c:v>0.98</c:v>
                </c:pt>
                <c:pt idx="2">
                  <c:v>0.89</c:v>
                </c:pt>
                <c:pt idx="3">
                  <c:v>0.96</c:v>
                </c:pt>
                <c:pt idx="4">
                  <c:v>0.99</c:v>
                </c:pt>
                <c:pt idx="5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EE-4E72-8FD7-708A0ECBF79C}"/>
            </c:ext>
          </c:extLst>
        </c:ser>
        <c:ser>
          <c:idx val="15"/>
          <c:order val="15"/>
          <c:tx>
            <c:strRef>
              <c:f>'PC3.04_Ind01'!$B$25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'PC3.04_Ind01'!$D$25:$I$25</c:f>
              <c:numCache>
                <c:formatCode>0%</c:formatCode>
                <c:ptCount val="6"/>
                <c:pt idx="0">
                  <c:v>0.84</c:v>
                </c:pt>
                <c:pt idx="1">
                  <c:v>0.94</c:v>
                </c:pt>
                <c:pt idx="2">
                  <c:v>0.86</c:v>
                </c:pt>
                <c:pt idx="3">
                  <c:v>0.9</c:v>
                </c:pt>
                <c:pt idx="4">
                  <c:v>0.93</c:v>
                </c:pt>
                <c:pt idx="5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EE-4E72-8FD7-708A0ECBF79C}"/>
            </c:ext>
          </c:extLst>
        </c:ser>
        <c:ser>
          <c:idx val="16"/>
          <c:order val="16"/>
          <c:tx>
            <c:strRef>
              <c:f>'PC3.04_Ind01'!$B$26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'PC3.04_Ind01'!$D$26:$I$26</c:f>
              <c:numCache>
                <c:formatCode>0%</c:formatCode>
                <c:ptCount val="6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0.97</c:v>
                </c:pt>
                <c:pt idx="4">
                  <c:v>0.99</c:v>
                </c:pt>
                <c:pt idx="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EE-4E72-8FD7-708A0ECBF79C}"/>
            </c:ext>
          </c:extLst>
        </c:ser>
        <c:ser>
          <c:idx val="17"/>
          <c:order val="17"/>
          <c:tx>
            <c:strRef>
              <c:f>'PC3.04_Ind01'!$B$27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'PC3.04_Ind01'!$D$27:$I$27</c:f>
              <c:numCache>
                <c:formatCode>0%</c:formatCode>
                <c:ptCount val="6"/>
                <c:pt idx="0">
                  <c:v>0.97</c:v>
                </c:pt>
                <c:pt idx="1">
                  <c:v>0.93</c:v>
                </c:pt>
                <c:pt idx="2">
                  <c:v>0.97</c:v>
                </c:pt>
                <c:pt idx="3">
                  <c:v>0.94</c:v>
                </c:pt>
                <c:pt idx="4">
                  <c:v>0.94</c:v>
                </c:pt>
                <c:pt idx="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8EE-4E72-8FD7-708A0ECBF79C}"/>
            </c:ext>
          </c:extLst>
        </c:ser>
        <c:ser>
          <c:idx val="18"/>
          <c:order val="18"/>
          <c:tx>
            <c:strRef>
              <c:f>'PC3.04_Ind01'!$B$28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'PC3.04_Ind01'!$D$28:$I$28</c:f>
              <c:numCache>
                <c:formatCode>0%</c:formatCode>
                <c:ptCount val="6"/>
                <c:pt idx="0">
                  <c:v>0.83</c:v>
                </c:pt>
                <c:pt idx="1">
                  <c:v>0.9</c:v>
                </c:pt>
                <c:pt idx="2">
                  <c:v>0.86</c:v>
                </c:pt>
                <c:pt idx="3">
                  <c:v>0.86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EE-4E72-8FD7-708A0ECBF79C}"/>
            </c:ext>
          </c:extLst>
        </c:ser>
        <c:ser>
          <c:idx val="19"/>
          <c:order val="19"/>
          <c:tx>
            <c:strRef>
              <c:f>'PC3.04_Ind01'!$B$29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'PC3.04_Ind01'!$D$29:$I$29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0.98</c:v>
                </c:pt>
                <c:pt idx="3">
                  <c:v>0.96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8EE-4E72-8FD7-708A0ECBF79C}"/>
            </c:ext>
          </c:extLst>
        </c:ser>
        <c:ser>
          <c:idx val="20"/>
          <c:order val="20"/>
          <c:tx>
            <c:strRef>
              <c:f>'PC3.04_Ind01'!$B$30</c:f>
              <c:strCache>
                <c:ptCount val="1"/>
                <c:pt idx="0">
                  <c:v> 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'PC3.04_Ind01'!$D$30:$I$30</c:f>
              <c:numCache>
                <c:formatCode>0%</c:formatCode>
                <c:ptCount val="6"/>
                <c:pt idx="0">
                  <c:v>1</c:v>
                </c:pt>
                <c:pt idx="1">
                  <c:v>0.97</c:v>
                </c:pt>
                <c:pt idx="2">
                  <c:v>0.72</c:v>
                </c:pt>
                <c:pt idx="3">
                  <c:v>0.99</c:v>
                </c:pt>
                <c:pt idx="4">
                  <c:v>0.96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EE-4E72-8FD7-708A0ECB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3134320"/>
        <c:axId val="1331875968"/>
      </c:barChart>
      <c:lineChart>
        <c:grouping val="standard"/>
        <c:varyColors val="0"/>
        <c:ser>
          <c:idx val="21"/>
          <c:order val="21"/>
          <c:tx>
            <c:strRef>
              <c:f>'PC3.04_Ind01'!$B$33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'PC3.04_Ind01'!$D$12:$H$12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'PC3.04_Ind01'!$D$33:$I$33</c:f>
              <c:numCache>
                <c:formatCode>0%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8EE-4E72-8FD7-708A0ECB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34320"/>
        <c:axId val="1331875968"/>
      </c:lineChart>
      <c:catAx>
        <c:axId val="133313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31875968"/>
        <c:crosses val="autoZero"/>
        <c:auto val="1"/>
        <c:lblAlgn val="ctr"/>
        <c:lblOffset val="100"/>
        <c:noMultiLvlLbl val="0"/>
      </c:catAx>
      <c:valAx>
        <c:axId val="13318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3313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8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900" b="1">
                <a:effectLst/>
              </a:rPr>
              <a:t>PC3.04_Ind02. Puntuació mitjana a l’afirmació “El sistema d’avaluació s’explica clarament a la Guia Docent de l’assignatura” de l’enquesta de satisfacció d’assignatura dels graus i de mòdul dels màsters</a:t>
            </a:r>
            <a:endParaRPr lang="ca-ES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'PC3.04_Ind02 '!$B$35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'!$C$35:$E$35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152-42CB-8478-8829843D50D5}"/>
            </c:ext>
          </c:extLst>
        </c:ser>
        <c:ser>
          <c:idx val="1"/>
          <c:order val="1"/>
          <c:tx>
            <c:strRef>
              <c:f>'PC3.04_Ind02 '!$B$11:$C$11</c:f>
              <c:strCache>
                <c:ptCount val="2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'!$D$11:$H$11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2-42CB-8478-8829843D50D5}"/>
            </c:ext>
          </c:extLst>
        </c:ser>
        <c:ser>
          <c:idx val="2"/>
          <c:order val="2"/>
          <c:tx>
            <c:strRef>
              <c:f>'PC3.04_Ind02 '!$B$12:$C$12</c:f>
              <c:strCache>
                <c:ptCount val="2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'!$D$12:$H$12</c:f>
              <c:numCache>
                <c:formatCode>General</c:formatCode>
                <c:ptCount val="5"/>
                <c:pt idx="0">
                  <c:v>3.3550000000000004</c:v>
                </c:pt>
                <c:pt idx="1">
                  <c:v>3.42</c:v>
                </c:pt>
                <c:pt idx="2">
                  <c:v>3.3149999999999999</c:v>
                </c:pt>
                <c:pt idx="3">
                  <c:v>3.34</c:v>
                </c:pt>
                <c:pt idx="4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2-42CB-8478-8829843D50D5}"/>
            </c:ext>
          </c:extLst>
        </c:ser>
        <c:ser>
          <c:idx val="3"/>
          <c:order val="3"/>
          <c:tx>
            <c:strRef>
              <c:f>'PC3.04_Ind02 '!$B$13:$C$13</c:f>
              <c:strCache>
                <c:ptCount val="2"/>
                <c:pt idx="0">
                  <c:v>Ciències Ambientals +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'!$D$13:$H$13</c:f>
              <c:numCache>
                <c:formatCode>General</c:formatCode>
                <c:ptCount val="5"/>
                <c:pt idx="0">
                  <c:v>0</c:v>
                </c:pt>
                <c:pt idx="1">
                  <c:v>3.29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2-42CB-8478-8829843D50D5}"/>
            </c:ext>
          </c:extLst>
        </c:ser>
        <c:ser>
          <c:idx val="4"/>
          <c:order val="4"/>
          <c:tx>
            <c:strRef>
              <c:f>'PC3.04_Ind02 '!$B$14:$C$14</c:f>
              <c:strCache>
                <c:ptCount val="2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'!$D$14:$H$14</c:f>
              <c:numCache>
                <c:formatCode>General</c:formatCode>
                <c:ptCount val="5"/>
                <c:pt idx="0">
                  <c:v>3.29</c:v>
                </c:pt>
                <c:pt idx="1">
                  <c:v>3.21</c:v>
                </c:pt>
                <c:pt idx="2">
                  <c:v>2.86</c:v>
                </c:pt>
                <c:pt idx="3">
                  <c:v>3.53</c:v>
                </c:pt>
                <c:pt idx="4">
                  <c:v>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2-42CB-8478-8829843D50D5}"/>
            </c:ext>
          </c:extLst>
        </c:ser>
        <c:ser>
          <c:idx val="5"/>
          <c:order val="5"/>
          <c:tx>
            <c:strRef>
              <c:f>'PC3.04_Ind02 '!$B$15:$C$15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'!$D$15:$H$15</c:f>
              <c:numCache>
                <c:formatCode>General</c:formatCode>
                <c:ptCount val="5"/>
                <c:pt idx="0">
                  <c:v>3.4649999999999999</c:v>
                </c:pt>
                <c:pt idx="1">
                  <c:v>3.42</c:v>
                </c:pt>
                <c:pt idx="2">
                  <c:v>3.42</c:v>
                </c:pt>
                <c:pt idx="3">
                  <c:v>3.58</c:v>
                </c:pt>
                <c:pt idx="4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2-42CB-8478-8829843D50D5}"/>
            </c:ext>
          </c:extLst>
        </c:ser>
        <c:ser>
          <c:idx val="6"/>
          <c:order val="6"/>
          <c:tx>
            <c:strRef>
              <c:f>'PC3.04_Ind02 '!$B$16:$C$16</c:f>
              <c:strCache>
                <c:ptCount val="2"/>
                <c:pt idx="0">
                  <c:v>Física + 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'!$D$16:$H$16</c:f>
              <c:numCache>
                <c:formatCode>General</c:formatCode>
                <c:ptCount val="5"/>
                <c:pt idx="0">
                  <c:v>0</c:v>
                </c:pt>
                <c:pt idx="1">
                  <c:v>3.49</c:v>
                </c:pt>
                <c:pt idx="2">
                  <c:v>3.48</c:v>
                </c:pt>
                <c:pt idx="3">
                  <c:v>3.67</c:v>
                </c:pt>
                <c:pt idx="4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52-42CB-8478-8829843D50D5}"/>
            </c:ext>
          </c:extLst>
        </c:ser>
        <c:ser>
          <c:idx val="7"/>
          <c:order val="7"/>
          <c:tx>
            <c:strRef>
              <c:f>'PC3.04_Ind02 '!$B$17:$C$17</c:f>
              <c:strCache>
                <c:ptCount val="2"/>
                <c:pt idx="0">
                  <c:v>Física +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'!$D$17:$H$17</c:f>
              <c:numCache>
                <c:formatCode>General</c:formatCode>
                <c:ptCount val="5"/>
                <c:pt idx="0">
                  <c:v>0</c:v>
                </c:pt>
                <c:pt idx="1">
                  <c:v>3.51</c:v>
                </c:pt>
                <c:pt idx="2">
                  <c:v>3.395</c:v>
                </c:pt>
                <c:pt idx="3">
                  <c:v>3.33</c:v>
                </c:pt>
                <c:pt idx="4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52-42CB-8478-8829843D50D5}"/>
            </c:ext>
          </c:extLst>
        </c:ser>
        <c:ser>
          <c:idx val="8"/>
          <c:order val="8"/>
          <c:tx>
            <c:strRef>
              <c:f>'PC3.04_Ind02 '!$B$18:$C$18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'!$D$18:$H$18</c:f>
              <c:numCache>
                <c:formatCode>General</c:formatCode>
                <c:ptCount val="5"/>
                <c:pt idx="0">
                  <c:v>3.1749999999999998</c:v>
                </c:pt>
                <c:pt idx="1">
                  <c:v>3.15</c:v>
                </c:pt>
                <c:pt idx="2">
                  <c:v>3.1799999999999997</c:v>
                </c:pt>
                <c:pt idx="3">
                  <c:v>3.35</c:v>
                </c:pt>
                <c:pt idx="4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52-42CB-8478-8829843D50D5}"/>
            </c:ext>
          </c:extLst>
        </c:ser>
        <c:ser>
          <c:idx val="9"/>
          <c:order val="9"/>
          <c:tx>
            <c:strRef>
              <c:f>'PC3.04_Ind02 '!$B$19:$C$19</c:f>
              <c:strCache>
                <c:ptCount val="2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'!$D$19:$H$19</c:f>
              <c:numCache>
                <c:formatCode>General</c:formatCode>
                <c:ptCount val="5"/>
                <c:pt idx="0">
                  <c:v>3.49</c:v>
                </c:pt>
                <c:pt idx="1">
                  <c:v>3.58</c:v>
                </c:pt>
                <c:pt idx="2">
                  <c:v>3.4249999999999998</c:v>
                </c:pt>
                <c:pt idx="3">
                  <c:v>3.47</c:v>
                </c:pt>
                <c:pt idx="4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52-42CB-8478-8829843D50D5}"/>
            </c:ext>
          </c:extLst>
        </c:ser>
        <c:ser>
          <c:idx val="10"/>
          <c:order val="10"/>
          <c:tx>
            <c:strRef>
              <c:f>'PC3.04_Ind02 '!$B$20:$C$20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'!$D$20:$H$20</c:f>
              <c:numCache>
                <c:formatCode>General</c:formatCode>
                <c:ptCount val="5"/>
                <c:pt idx="0">
                  <c:v>3.2149999999999999</c:v>
                </c:pt>
                <c:pt idx="1">
                  <c:v>3.6</c:v>
                </c:pt>
                <c:pt idx="2">
                  <c:v>3.62</c:v>
                </c:pt>
                <c:pt idx="3">
                  <c:v>3.62</c:v>
                </c:pt>
                <c:pt idx="4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52-42CB-8478-8829843D50D5}"/>
            </c:ext>
          </c:extLst>
        </c:ser>
        <c:ser>
          <c:idx val="11"/>
          <c:order val="11"/>
          <c:tx>
            <c:strRef>
              <c:f>'PC3.04_Ind02 '!$B$21:$C$21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'!$D$21:$H$21</c:f>
              <c:numCache>
                <c:formatCode>General</c:formatCode>
                <c:ptCount val="5"/>
                <c:pt idx="0">
                  <c:v>3.3650000000000002</c:v>
                </c:pt>
                <c:pt idx="1">
                  <c:v>3.48</c:v>
                </c:pt>
                <c:pt idx="2">
                  <c:v>3.34</c:v>
                </c:pt>
                <c:pt idx="3">
                  <c:v>3.53</c:v>
                </c:pt>
                <c:pt idx="4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52-42CB-8478-8829843D50D5}"/>
            </c:ext>
          </c:extLst>
        </c:ser>
        <c:ser>
          <c:idx val="12"/>
          <c:order val="12"/>
          <c:tx>
            <c:strRef>
              <c:f>'PC3.04_Ind02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'!$D$22:$G$22</c:f>
              <c:numCache>
                <c:formatCode>General</c:formatCode>
                <c:ptCount val="4"/>
                <c:pt idx="0">
                  <c:v>3.51</c:v>
                </c:pt>
                <c:pt idx="1">
                  <c:v>3.51</c:v>
                </c:pt>
                <c:pt idx="2">
                  <c:v>3.4450000000000003</c:v>
                </c:pt>
                <c:pt idx="3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52-42CB-8478-8829843D50D5}"/>
            </c:ext>
          </c:extLst>
        </c:ser>
        <c:ser>
          <c:idx val="14"/>
          <c:order val="14"/>
          <c:tx>
            <c:strRef>
              <c:f>'PC3.04_Ind02 '!$B$23:$C$23</c:f>
              <c:strCache>
                <c:ptCount val="2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'!$D$23:$H$23</c:f>
              <c:numCache>
                <c:formatCode>General</c:formatCode>
                <c:ptCount val="5"/>
                <c:pt idx="0">
                  <c:v>3.1</c:v>
                </c:pt>
                <c:pt idx="1">
                  <c:v>3.23</c:v>
                </c:pt>
                <c:pt idx="2">
                  <c:v>0</c:v>
                </c:pt>
                <c:pt idx="3">
                  <c:v>3.7</c:v>
                </c:pt>
                <c:pt idx="4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152-42CB-8478-8829843D50D5}"/>
            </c:ext>
          </c:extLst>
        </c:ser>
        <c:ser>
          <c:idx val="15"/>
          <c:order val="15"/>
          <c:tx>
            <c:strRef>
              <c:f>'PC3.04_Ind02 '!$B$24:$C$24</c:f>
              <c:strCache>
                <c:ptCount val="2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'!$D$24:$H$24</c:f>
              <c:numCache>
                <c:formatCode>General</c:formatCode>
                <c:ptCount val="5"/>
                <c:pt idx="0">
                  <c:v>3.4</c:v>
                </c:pt>
                <c:pt idx="1">
                  <c:v>3.2</c:v>
                </c:pt>
                <c:pt idx="2">
                  <c:v>0</c:v>
                </c:pt>
                <c:pt idx="3">
                  <c:v>3.35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152-42CB-8478-8829843D50D5}"/>
            </c:ext>
          </c:extLst>
        </c:ser>
        <c:ser>
          <c:idx val="16"/>
          <c:order val="16"/>
          <c:tx>
            <c:strRef>
              <c:f>'PC3.04_Ind02 '!$B$25:$C$25</c:f>
              <c:strCache>
                <c:ptCount val="2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'!$D$25:$H$25</c:f>
              <c:numCache>
                <c:formatCode>General</c:formatCode>
                <c:ptCount val="5"/>
                <c:pt idx="0">
                  <c:v>3.8</c:v>
                </c:pt>
                <c:pt idx="1">
                  <c:v>3.56</c:v>
                </c:pt>
                <c:pt idx="2">
                  <c:v>3.95</c:v>
                </c:pt>
                <c:pt idx="3">
                  <c:v>3.67</c:v>
                </c:pt>
                <c:pt idx="4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152-42CB-8478-8829843D50D5}"/>
            </c:ext>
          </c:extLst>
        </c:ser>
        <c:ser>
          <c:idx val="18"/>
          <c:order val="17"/>
          <c:tx>
            <c:strRef>
              <c:f>'PC3.04_Ind02 '!$B$27:$C$27</c:f>
              <c:strCache>
                <c:ptCount val="2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'!$D$27:$H$27</c:f>
              <c:numCache>
                <c:formatCode>General</c:formatCode>
                <c:ptCount val="5"/>
                <c:pt idx="0">
                  <c:v>3.17</c:v>
                </c:pt>
                <c:pt idx="1">
                  <c:v>3.17</c:v>
                </c:pt>
                <c:pt idx="2">
                  <c:v>0</c:v>
                </c:pt>
                <c:pt idx="3">
                  <c:v>2.2999999999999998</c:v>
                </c:pt>
                <c:pt idx="4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152-42CB-8478-8829843D50D5}"/>
            </c:ext>
          </c:extLst>
        </c:ser>
        <c:ser>
          <c:idx val="17"/>
          <c:order val="18"/>
          <c:tx>
            <c:strRef>
              <c:f>'PC3.04_Ind02 '!$B$28:$C$28</c:f>
              <c:strCache>
                <c:ptCount val="2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'!$D$29:$H$29</c:f>
              <c:numCache>
                <c:formatCode>General</c:formatCode>
                <c:ptCount val="5"/>
                <c:pt idx="0">
                  <c:v>3.13</c:v>
                </c:pt>
                <c:pt idx="1">
                  <c:v>2.4700000000000002</c:v>
                </c:pt>
                <c:pt idx="2">
                  <c:v>0</c:v>
                </c:pt>
                <c:pt idx="3">
                  <c:v>0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152-42CB-8478-8829843D50D5}"/>
            </c:ext>
          </c:extLst>
        </c:ser>
        <c:ser>
          <c:idx val="19"/>
          <c:order val="19"/>
          <c:tx>
            <c:strRef>
              <c:f>'PC3.04_Ind02 '!$B$29:$C$29</c:f>
              <c:strCache>
                <c:ptCount val="2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'!$D$29:$G$29</c:f>
              <c:numCache>
                <c:formatCode>General</c:formatCode>
                <c:ptCount val="4"/>
                <c:pt idx="0">
                  <c:v>3.13</c:v>
                </c:pt>
                <c:pt idx="1">
                  <c:v>2.4700000000000002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52-42CB-8478-8829843D50D5}"/>
            </c:ext>
          </c:extLst>
        </c:ser>
        <c:ser>
          <c:idx val="20"/>
          <c:order val="20"/>
          <c:tx>
            <c:strRef>
              <c:f>'PC3.04_Ind02 '!$B$26:$C$26</c:f>
              <c:strCache>
                <c:ptCount val="2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'PC3.04_Ind02 '!$D$26:$H$26</c:f>
              <c:numCache>
                <c:formatCode>General</c:formatCode>
                <c:ptCount val="5"/>
                <c:pt idx="0">
                  <c:v>2.8</c:v>
                </c:pt>
                <c:pt idx="1">
                  <c:v>3.52</c:v>
                </c:pt>
                <c:pt idx="2">
                  <c:v>3.47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D-4951-BA84-C3FE6AA2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626864"/>
        <c:axId val="930055728"/>
      </c:barChart>
      <c:lineChart>
        <c:grouping val="standard"/>
        <c:varyColors val="0"/>
        <c:ser>
          <c:idx val="13"/>
          <c:order val="13"/>
          <c:tx>
            <c:strRef>
              <c:f>'PC3.04_Ind02 '!$B$32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'PC3.04_Ind02 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'PC3.04_Ind02 '!$D$32:$H$32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52-42CB-8478-8829843D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626864"/>
        <c:axId val="930055728"/>
      </c:lineChart>
      <c:catAx>
        <c:axId val="161562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0055728"/>
        <c:crosses val="autoZero"/>
        <c:auto val="1"/>
        <c:lblAlgn val="ctr"/>
        <c:lblOffset val="100"/>
        <c:noMultiLvlLbl val="0"/>
      </c:catAx>
      <c:valAx>
        <c:axId val="9300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1562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806453793945039E-2"/>
          <c:y val="0.61451726568005638"/>
          <c:w val="0.68284537080523611"/>
          <c:h val="0.38548273431994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900" b="1">
                <a:effectLst/>
              </a:rPr>
              <a:t>PC3.04_Ind03. Valoració mitjana a l’afirmació “Els continguts de les proves i altres activitats d’avaluació es corresponen amb els continguts del curs i també amb el temps que el professorat va dedicar a cada tema”</a:t>
            </a:r>
            <a:endParaRPr lang="ca-ES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3216894174458687E-2"/>
          <c:y val="0.17447876707719229"/>
          <c:w val="0.96678310582554128"/>
          <c:h val="0.3727249478430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'PC3.04_Ind03'!$B$35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'PC3.04_Ind03'!$C$35:$E$35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572-47F9-A59B-0A8B3917C523}"/>
            </c:ext>
          </c:extLst>
        </c:ser>
        <c:ser>
          <c:idx val="1"/>
          <c:order val="1"/>
          <c:tx>
            <c:strRef>
              <c:f>'PC3.04_Ind03'!$B$11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'PC3.04_Ind03'!$D$11:$H$11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2-47F9-A59B-0A8B3917C523}"/>
            </c:ext>
          </c:extLst>
        </c:ser>
        <c:ser>
          <c:idx val="2"/>
          <c:order val="2"/>
          <c:tx>
            <c:strRef>
              <c:f>'PC3.04_Ind03'!$B$12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'PC3.04_Ind03'!$D$12:$I$12</c:f>
              <c:numCache>
                <c:formatCode>General</c:formatCode>
                <c:ptCount val="6"/>
                <c:pt idx="0">
                  <c:v>2.7249999999999996</c:v>
                </c:pt>
                <c:pt idx="1">
                  <c:v>2.9299999999999997</c:v>
                </c:pt>
                <c:pt idx="2">
                  <c:v>3.05</c:v>
                </c:pt>
                <c:pt idx="3">
                  <c:v>2.9049999999999998</c:v>
                </c:pt>
                <c:pt idx="4">
                  <c:v>3.05</c:v>
                </c:pt>
                <c:pt idx="5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2-47F9-A59B-0A8B3917C523}"/>
            </c:ext>
          </c:extLst>
        </c:ser>
        <c:ser>
          <c:idx val="3"/>
          <c:order val="3"/>
          <c:tx>
            <c:strRef>
              <c:f>'PC3.04_Ind03'!$B$13</c:f>
              <c:strCache>
                <c:ptCount val="1"/>
                <c:pt idx="0">
                  <c:v>Ciències Ambientals +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'PC3.04_Ind03'!$D$13:$I$13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2-47F9-A59B-0A8B3917C523}"/>
            </c:ext>
          </c:extLst>
        </c:ser>
        <c:ser>
          <c:idx val="4"/>
          <c:order val="4"/>
          <c:tx>
            <c:strRef>
              <c:f>'PC3.04_Ind03'!$B$14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'PC3.04_Ind03'!$D$14:$I$14</c:f>
              <c:numCache>
                <c:formatCode>General</c:formatCode>
                <c:ptCount val="6"/>
                <c:pt idx="0">
                  <c:v>2.855</c:v>
                </c:pt>
                <c:pt idx="1">
                  <c:v>2.99</c:v>
                </c:pt>
                <c:pt idx="2">
                  <c:v>3.07</c:v>
                </c:pt>
                <c:pt idx="3">
                  <c:v>2.33</c:v>
                </c:pt>
                <c:pt idx="4">
                  <c:v>3.05</c:v>
                </c:pt>
                <c:pt idx="5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72-47F9-A59B-0A8B3917C523}"/>
            </c:ext>
          </c:extLst>
        </c:ser>
        <c:ser>
          <c:idx val="5"/>
          <c:order val="5"/>
          <c:tx>
            <c:strRef>
              <c:f>'PC3.04_Ind03'!$B$15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'PC3.04_Ind03'!$D$15:$I$15</c:f>
              <c:numCache>
                <c:formatCode>General</c:formatCode>
                <c:ptCount val="6"/>
                <c:pt idx="0">
                  <c:v>2.6399999999999997</c:v>
                </c:pt>
                <c:pt idx="1">
                  <c:v>2.96</c:v>
                </c:pt>
                <c:pt idx="2">
                  <c:v>2.67</c:v>
                </c:pt>
                <c:pt idx="3">
                  <c:v>3</c:v>
                </c:pt>
                <c:pt idx="4">
                  <c:v>3.08</c:v>
                </c:pt>
                <c:pt idx="5">
                  <c:v>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2-47F9-A59B-0A8B3917C523}"/>
            </c:ext>
          </c:extLst>
        </c:ser>
        <c:ser>
          <c:idx val="6"/>
          <c:order val="6"/>
          <c:tx>
            <c:strRef>
              <c:f>'PC3.04_Ind03'!$B$16</c:f>
              <c:strCache>
                <c:ptCount val="1"/>
                <c:pt idx="0">
                  <c:v>Física + 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'PC3.04_Ind03'!$D$16:$I$16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2.82</c:v>
                </c:pt>
                <c:pt idx="3">
                  <c:v>3.085</c:v>
                </c:pt>
                <c:pt idx="4">
                  <c:v>2.94</c:v>
                </c:pt>
                <c:pt idx="5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72-47F9-A59B-0A8B3917C523}"/>
            </c:ext>
          </c:extLst>
        </c:ser>
        <c:ser>
          <c:idx val="7"/>
          <c:order val="7"/>
          <c:tx>
            <c:strRef>
              <c:f>'PC3.04_Ind03'!$B$17</c:f>
              <c:strCache>
                <c:ptCount val="1"/>
                <c:pt idx="0">
                  <c:v>Física +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'PC3.04_Ind03'!$D$17:$I$17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2.89</c:v>
                </c:pt>
                <c:pt idx="3">
                  <c:v>2.7649999999999997</c:v>
                </c:pt>
                <c:pt idx="4">
                  <c:v>2.76</c:v>
                </c:pt>
                <c:pt idx="5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72-47F9-A59B-0A8B3917C523}"/>
            </c:ext>
          </c:extLst>
        </c:ser>
        <c:ser>
          <c:idx val="8"/>
          <c:order val="8"/>
          <c:tx>
            <c:strRef>
              <c:f>'PC3.04_Ind03'!$B$18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'PC3.04_Ind03'!$D$18:$I$18</c:f>
              <c:numCache>
                <c:formatCode>General</c:formatCode>
                <c:ptCount val="6"/>
                <c:pt idx="0">
                  <c:v>2.6799999999999997</c:v>
                </c:pt>
                <c:pt idx="1">
                  <c:v>2.6850000000000001</c:v>
                </c:pt>
                <c:pt idx="2">
                  <c:v>2.81</c:v>
                </c:pt>
                <c:pt idx="3">
                  <c:v>2.91</c:v>
                </c:pt>
                <c:pt idx="4">
                  <c:v>3.15</c:v>
                </c:pt>
                <c:pt idx="5">
                  <c:v>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72-47F9-A59B-0A8B3917C523}"/>
            </c:ext>
          </c:extLst>
        </c:ser>
        <c:ser>
          <c:idx val="9"/>
          <c:order val="9"/>
          <c:tx>
            <c:strRef>
              <c:f>'PC3.04_Ind03'!$B$19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'PC3.04_Ind03'!$D$19:$I$19</c:f>
              <c:numCache>
                <c:formatCode>General</c:formatCode>
                <c:ptCount val="6"/>
                <c:pt idx="0">
                  <c:v>0</c:v>
                </c:pt>
                <c:pt idx="1">
                  <c:v>3.1850000000000001</c:v>
                </c:pt>
                <c:pt idx="2">
                  <c:v>3.43</c:v>
                </c:pt>
                <c:pt idx="3">
                  <c:v>3.0700000000000003</c:v>
                </c:pt>
                <c:pt idx="4">
                  <c:v>3.09</c:v>
                </c:pt>
                <c:pt idx="5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72-47F9-A59B-0A8B3917C523}"/>
            </c:ext>
          </c:extLst>
        </c:ser>
        <c:ser>
          <c:idx val="10"/>
          <c:order val="10"/>
          <c:tx>
            <c:strRef>
              <c:f>'PC3.04_Ind03'!$B$20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'PC3.04_Ind03'!$D$20:$I$20</c:f>
              <c:numCache>
                <c:formatCode>General</c:formatCode>
                <c:ptCount val="6"/>
                <c:pt idx="0">
                  <c:v>2.83</c:v>
                </c:pt>
                <c:pt idx="1">
                  <c:v>3.09</c:v>
                </c:pt>
                <c:pt idx="2">
                  <c:v>3.05</c:v>
                </c:pt>
                <c:pt idx="3">
                  <c:v>3.2350000000000003</c:v>
                </c:pt>
                <c:pt idx="4">
                  <c:v>3.05</c:v>
                </c:pt>
                <c:pt idx="5">
                  <c:v>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72-47F9-A59B-0A8B3917C523}"/>
            </c:ext>
          </c:extLst>
        </c:ser>
        <c:ser>
          <c:idx val="11"/>
          <c:order val="11"/>
          <c:tx>
            <c:strRef>
              <c:f>'PC3.04_Ind03'!$B$21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'PC3.04_Ind03'!$D$21:$I$21</c:f>
              <c:numCache>
                <c:formatCode>General</c:formatCode>
                <c:ptCount val="6"/>
                <c:pt idx="0">
                  <c:v>2.7800000000000002</c:v>
                </c:pt>
                <c:pt idx="1">
                  <c:v>2.9850000000000003</c:v>
                </c:pt>
                <c:pt idx="2">
                  <c:v>2.97</c:v>
                </c:pt>
                <c:pt idx="3">
                  <c:v>2.9299999999999997</c:v>
                </c:pt>
                <c:pt idx="4">
                  <c:v>3.2</c:v>
                </c:pt>
                <c:pt idx="5">
                  <c:v>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72-47F9-A59B-0A8B3917C523}"/>
            </c:ext>
          </c:extLst>
        </c:ser>
        <c:ser>
          <c:idx val="12"/>
          <c:order val="12"/>
          <c:tx>
            <c:strRef>
              <c:f>'PC3.04_Ind03'!$B$22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'PC3.04_Ind03'!$D$22:$I$22</c:f>
              <c:numCache>
                <c:formatCode>General</c:formatCode>
                <c:ptCount val="6"/>
                <c:pt idx="0">
                  <c:v>2.8849999999999998</c:v>
                </c:pt>
                <c:pt idx="1">
                  <c:v>3.0949999999999998</c:v>
                </c:pt>
                <c:pt idx="2">
                  <c:v>2.95</c:v>
                </c:pt>
                <c:pt idx="3">
                  <c:v>0</c:v>
                </c:pt>
                <c:pt idx="4">
                  <c:v>3.48</c:v>
                </c:pt>
                <c:pt idx="5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72-47F9-A59B-0A8B3917C523}"/>
            </c:ext>
          </c:extLst>
        </c:ser>
        <c:ser>
          <c:idx val="13"/>
          <c:order val="13"/>
          <c:tx>
            <c:strRef>
              <c:f>'PC3.04_Ind03'!$B$23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'PC3.04_Ind03'!$D$23:$I$23</c:f>
              <c:numCache>
                <c:formatCode>General</c:formatCode>
                <c:ptCount val="6"/>
                <c:pt idx="0">
                  <c:v>3.45</c:v>
                </c:pt>
                <c:pt idx="1">
                  <c:v>3.03</c:v>
                </c:pt>
                <c:pt idx="2">
                  <c:v>2.87</c:v>
                </c:pt>
                <c:pt idx="3">
                  <c:v>3.21</c:v>
                </c:pt>
                <c:pt idx="4">
                  <c:v>2.56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72-47F9-A59B-0A8B3917C523}"/>
            </c:ext>
          </c:extLst>
        </c:ser>
        <c:ser>
          <c:idx val="14"/>
          <c:order val="14"/>
          <c:tx>
            <c:strRef>
              <c:f>'PC3.04_Ind03'!$B$24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'PC3.04_Ind03'!$D$24:$I$24</c:f>
              <c:numCache>
                <c:formatCode>General</c:formatCode>
                <c:ptCount val="6"/>
                <c:pt idx="0">
                  <c:v>2.5049999999999999</c:v>
                </c:pt>
                <c:pt idx="1">
                  <c:v>3.36</c:v>
                </c:pt>
                <c:pt idx="2">
                  <c:v>3.39</c:v>
                </c:pt>
                <c:pt idx="3">
                  <c:v>3.71</c:v>
                </c:pt>
                <c:pt idx="4">
                  <c:v>3.5</c:v>
                </c:pt>
                <c:pt idx="5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72-47F9-A59B-0A8B3917C523}"/>
            </c:ext>
          </c:extLst>
        </c:ser>
        <c:ser>
          <c:idx val="15"/>
          <c:order val="15"/>
          <c:tx>
            <c:strRef>
              <c:f>'PC3.04_Ind03'!$B$25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'PC3.04_Ind03'!$D$25:$I$25</c:f>
              <c:numCache>
                <c:formatCode>General</c:formatCode>
                <c:ptCount val="6"/>
                <c:pt idx="0">
                  <c:v>0</c:v>
                </c:pt>
                <c:pt idx="1">
                  <c:v>2.8</c:v>
                </c:pt>
                <c:pt idx="2">
                  <c:v>3.32</c:v>
                </c:pt>
                <c:pt idx="3">
                  <c:v>2.83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572-47F9-A59B-0A8B3917C523}"/>
            </c:ext>
          </c:extLst>
        </c:ser>
        <c:ser>
          <c:idx val="16"/>
          <c:order val="16"/>
          <c:tx>
            <c:strRef>
              <c:f>'PC3.04_Ind03'!$B$26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'PC3.04_Ind03'!$D$26:$I$26</c:f>
              <c:numCache>
                <c:formatCode>General</c:formatCode>
                <c:ptCount val="6"/>
                <c:pt idx="0">
                  <c:v>0</c:v>
                </c:pt>
                <c:pt idx="1">
                  <c:v>2.6799999999999997</c:v>
                </c:pt>
                <c:pt idx="2">
                  <c:v>3.04</c:v>
                </c:pt>
                <c:pt idx="3">
                  <c:v>0</c:v>
                </c:pt>
                <c:pt idx="4">
                  <c:v>2.4</c:v>
                </c:pt>
                <c:pt idx="5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572-47F9-A59B-0A8B3917C523}"/>
            </c:ext>
          </c:extLst>
        </c:ser>
        <c:ser>
          <c:idx val="17"/>
          <c:order val="17"/>
          <c:tx>
            <c:strRef>
              <c:f>'PC3.04_Ind03'!$B$27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'PC3.04_Ind03'!$D$27:$I$27</c:f>
              <c:numCache>
                <c:formatCode>General</c:formatCode>
                <c:ptCount val="6"/>
                <c:pt idx="0">
                  <c:v>0</c:v>
                </c:pt>
                <c:pt idx="1">
                  <c:v>3.6</c:v>
                </c:pt>
                <c:pt idx="2">
                  <c:v>3.25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572-47F9-A59B-0A8B3917C523}"/>
            </c:ext>
          </c:extLst>
        </c:ser>
        <c:ser>
          <c:idx val="18"/>
          <c:order val="18"/>
          <c:tx>
            <c:strRef>
              <c:f>'PC3.04_Ind03'!$B$28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'PC3.04_Ind03'!$D$28:$I$28</c:f>
              <c:numCache>
                <c:formatCode>General</c:formatCode>
                <c:ptCount val="6"/>
                <c:pt idx="0">
                  <c:v>2.9450000000000003</c:v>
                </c:pt>
                <c:pt idx="1">
                  <c:v>2.9850000000000003</c:v>
                </c:pt>
                <c:pt idx="2">
                  <c:v>2.74</c:v>
                </c:pt>
                <c:pt idx="3">
                  <c:v>0</c:v>
                </c:pt>
                <c:pt idx="4">
                  <c:v>0</c:v>
                </c:pt>
                <c:pt idx="5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572-47F9-A59B-0A8B3917C523}"/>
            </c:ext>
          </c:extLst>
        </c:ser>
        <c:ser>
          <c:idx val="20"/>
          <c:order val="19"/>
          <c:tx>
            <c:strRef>
              <c:f>'PC3.04_Ind03'!$B$29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'PC3.04_Ind03'!$D$29:$I$29</c:f>
              <c:numCache>
                <c:formatCode>General</c:formatCode>
                <c:ptCount val="6"/>
                <c:pt idx="0">
                  <c:v>2.73</c:v>
                </c:pt>
                <c:pt idx="1">
                  <c:v>3.11</c:v>
                </c:pt>
                <c:pt idx="2">
                  <c:v>3.09</c:v>
                </c:pt>
                <c:pt idx="3">
                  <c:v>2.99</c:v>
                </c:pt>
                <c:pt idx="4">
                  <c:v>3.11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72-47F9-A59B-0A8B3917C523}"/>
            </c:ext>
          </c:extLst>
        </c:ser>
        <c:ser>
          <c:idx val="21"/>
          <c:order val="20"/>
          <c:tx>
            <c:strRef>
              <c:f>'PC3.04_Ind03'!$B$32</c:f>
              <c:strCache>
                <c:ptCount val="1"/>
                <c:pt idx="0">
                  <c:v>Valor objectiu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'PC3.04_Ind03'!$D$11:$I$11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'PC3.04_Ind03'!$D$32:$H$32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572-47F9-A59B-0A8B3917C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32217664"/>
        <c:axId val="1354710160"/>
      </c:barChart>
      <c:catAx>
        <c:axId val="17322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4710160"/>
        <c:crosses val="autoZero"/>
        <c:auto val="1"/>
        <c:lblAlgn val="ctr"/>
        <c:lblOffset val="100"/>
        <c:noMultiLvlLbl val="0"/>
      </c:catAx>
      <c:valAx>
        <c:axId val="13547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3221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520627825047136E-2"/>
          <c:y val="0.73175082943482916"/>
          <c:w val="0.96912081345321466"/>
          <c:h val="0.24773645601992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PC3.05_Ind02.  Número d'activitats realitzades pel Consell d'Estudiants (Pla Estratègic 2022/2023 a 2024/2025)</a:t>
            </a:r>
            <a:endParaRPr lang="ca-E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'PC3.05_Ind01'!$B$12</c:f>
              <c:strCache>
                <c:ptCount val="1"/>
                <c:pt idx="0">
                  <c:v>Nombre de persones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'PC3.05_Ind01'!$C$11:$G$11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'PC3.05_Ind01'!$C$12:$G$12</c:f>
              <c:numCache>
                <c:formatCode>General</c:formatCode>
                <c:ptCount val="5"/>
                <c:pt idx="0">
                  <c:v>3555</c:v>
                </c:pt>
                <c:pt idx="1">
                  <c:v>3073</c:v>
                </c:pt>
                <c:pt idx="2">
                  <c:v>3361</c:v>
                </c:pt>
                <c:pt idx="3">
                  <c:v>2839</c:v>
                </c:pt>
                <c:pt idx="4">
                  <c:v>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3-475E-811E-C6B6B6E2B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58975936"/>
        <c:axId val="1349765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'PC3.05_Ind01'!$B$20</c15:sqref>
                        </c15:formulaRef>
                      </c:ext>
                    </c:extLst>
                    <c:strCache>
                      <c:ptCount val="1"/>
                      <c:pt idx="0">
                        <c:v>9. Gràfic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'PC3.05_Ind01'!$C$11:$G$11</c15:sqref>
                        </c15:formulaRef>
                      </c:ext>
                    </c:extLst>
                    <c:strCache>
                      <c:ptCount val="5"/>
                      <c:pt idx="0">
                        <c:v>2018/2019</c:v>
                      </c:pt>
                      <c:pt idx="1">
                        <c:v>2019/2020</c:v>
                      </c:pt>
                      <c:pt idx="2">
                        <c:v>2020/2021</c:v>
                      </c:pt>
                      <c:pt idx="3">
                        <c:v>2021/2022</c:v>
                      </c:pt>
                      <c:pt idx="4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'PC3.05_Ind01'!$C$20:$E$20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043-475E-811E-C6B6B6E2B76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'PC3.05_Ind01'!$B$13</c:f>
              <c:strCache>
                <c:ptCount val="1"/>
                <c:pt idx="0">
                  <c:v>Valor de l'objectiu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'PC3.05_Ind01'!$C$11:$F$11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'PC3.05_Ind01'!$C$13:$G$13</c:f>
              <c:numCache>
                <c:formatCode>General</c:formatCode>
                <c:ptCount val="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3-475E-811E-C6B6B6E2B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975936"/>
        <c:axId val="1349765824"/>
      </c:lineChart>
      <c:catAx>
        <c:axId val="15589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9765824"/>
        <c:crosses val="autoZero"/>
        <c:auto val="0"/>
        <c:lblAlgn val="ctr"/>
        <c:lblOffset val="100"/>
        <c:noMultiLvlLbl val="0"/>
      </c:catAx>
      <c:valAx>
        <c:axId val="1349765824"/>
        <c:scaling>
          <c:orientation val="minMax"/>
          <c:max val="5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8975936"/>
        <c:crossesAt val="1"/>
        <c:crossBetween val="between"/>
        <c:min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PC3.05_Ind02.  Número d'activitats realitzades pel Consell d'Estudiants (Pla Estratègic 2022/2023 a 2024/2025)</a:t>
            </a:r>
            <a:endParaRPr lang="ca-E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'PC3.05_Ind02'!$B$20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'PC3.05_Ind02'!$C$11:$H$11</c:f>
              <c:strCache>
                <c:ptCount val="6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  <c:pt idx="5">
                  <c:v>2023/2024</c:v>
                </c:pt>
              </c:strCache>
            </c:strRef>
          </c:cat>
          <c:val>
            <c:numRef>
              <c:f>'PC3.05_Ind02'!$C$20:$E$20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A47-47DB-A3BA-9A98D6D3499C}"/>
            </c:ext>
          </c:extLst>
        </c:ser>
        <c:ser>
          <c:idx val="1"/>
          <c:order val="1"/>
          <c:tx>
            <c:strRef>
              <c:f>'PC3.05_Ind02'!$B$12</c:f>
              <c:strCache>
                <c:ptCount val="1"/>
                <c:pt idx="0">
                  <c:v>Núm.Activitats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'PC3.05_Ind02'!$C$11:$H$11</c:f>
              <c:strCache>
                <c:ptCount val="6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  <c:pt idx="5">
                  <c:v>2023/2024</c:v>
                </c:pt>
              </c:strCache>
            </c:strRef>
          </c:cat>
          <c:val>
            <c:numRef>
              <c:f>'PC3.05_Ind02'!$C$12:$H$12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7-47DB-A3BA-9A98D6D34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58975936"/>
        <c:axId val="1349765824"/>
      </c:barChart>
      <c:lineChart>
        <c:grouping val="standard"/>
        <c:varyColors val="0"/>
        <c:ser>
          <c:idx val="2"/>
          <c:order val="2"/>
          <c:tx>
            <c:strRef>
              <c:f>'PC3.05_Ind02'!$B$13</c:f>
              <c:strCache>
                <c:ptCount val="1"/>
                <c:pt idx="0">
                  <c:v>Valor de l'objectiu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'PC3.05_Ind02'!$C$11:$F$11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'PC3.05_Ind02'!$C$13:$H$13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7-47DB-A3BA-9A98D6D34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975936"/>
        <c:axId val="1349765824"/>
      </c:lineChart>
      <c:catAx>
        <c:axId val="15589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9765824"/>
        <c:crosses val="autoZero"/>
        <c:auto val="0"/>
        <c:lblAlgn val="ctr"/>
        <c:lblOffset val="100"/>
        <c:noMultiLvlLbl val="0"/>
      </c:catAx>
      <c:valAx>
        <c:axId val="134976582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8975936"/>
        <c:crossesAt val="1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PS4.01_Ind01. Taxa de matrícula respecte a les places ofertes per curs acadèmic i titulació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'PS4.01_Ind01'!$B$13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'PS4.01_Ind01'!$D$13:$I$13</c:f>
              <c:numCache>
                <c:formatCode>0%</c:formatCode>
                <c:ptCount val="6"/>
                <c:pt idx="0">
                  <c:v>1.17</c:v>
                </c:pt>
                <c:pt idx="1">
                  <c:v>1.1200000000000001</c:v>
                </c:pt>
                <c:pt idx="2">
                  <c:v>1.18</c:v>
                </c:pt>
                <c:pt idx="3">
                  <c:v>1.1200000000000001</c:v>
                </c:pt>
                <c:pt idx="4">
                  <c:v>1.05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F-407C-85CB-AFD8769AF71B}"/>
            </c:ext>
          </c:extLst>
        </c:ser>
        <c:ser>
          <c:idx val="1"/>
          <c:order val="1"/>
          <c:tx>
            <c:strRef>
              <c:f>'PS4.01_Ind01'!$B$14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'PS4.01_Ind01'!$D$14:$I$14</c:f>
              <c:numCache>
                <c:formatCode>0%</c:formatCode>
                <c:ptCount val="6"/>
                <c:pt idx="0">
                  <c:v>0.87</c:v>
                </c:pt>
                <c:pt idx="1">
                  <c:v>1.07</c:v>
                </c:pt>
                <c:pt idx="2">
                  <c:v>1.1000000000000001</c:v>
                </c:pt>
                <c:pt idx="3">
                  <c:v>1.17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F-407C-85CB-AFD8769AF71B}"/>
            </c:ext>
          </c:extLst>
        </c:ser>
        <c:ser>
          <c:idx val="2"/>
          <c:order val="2"/>
          <c:tx>
            <c:strRef>
              <c:f>'PS4.01_Ind01'!$B$15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'PS4.01_Ind01'!$D$15:$I$15</c:f>
              <c:numCache>
                <c:formatCode>0%</c:formatCode>
                <c:ptCount val="6"/>
                <c:pt idx="0">
                  <c:v>1.05</c:v>
                </c:pt>
                <c:pt idx="1">
                  <c:v>1.05</c:v>
                </c:pt>
                <c:pt idx="2">
                  <c:v>1.28</c:v>
                </c:pt>
                <c:pt idx="3">
                  <c:v>1.25</c:v>
                </c:pt>
                <c:pt idx="4">
                  <c:v>1.02</c:v>
                </c:pt>
                <c:pt idx="5" formatCode="0.00%">
                  <c:v>1.075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F-407C-85CB-AFD8769AF71B}"/>
            </c:ext>
          </c:extLst>
        </c:ser>
        <c:ser>
          <c:idx val="3"/>
          <c:order val="3"/>
          <c:tx>
            <c:strRef>
              <c:f>'PS4.01_Ind01'!$B$16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'PS4.01_Ind01'!$D$16:$I$16</c:f>
              <c:numCache>
                <c:formatCode>0%</c:formatCode>
                <c:ptCount val="6"/>
                <c:pt idx="0">
                  <c:v>1.01</c:v>
                </c:pt>
                <c:pt idx="1">
                  <c:v>1.01</c:v>
                </c:pt>
                <c:pt idx="2">
                  <c:v>1.07</c:v>
                </c:pt>
                <c:pt idx="3">
                  <c:v>1.1000000000000001</c:v>
                </c:pt>
                <c:pt idx="4">
                  <c:v>1.0285</c:v>
                </c:pt>
                <c:pt idx="5" formatCode="0.00%">
                  <c:v>1.0857000000000001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F-407C-85CB-AFD8769AF71B}"/>
            </c:ext>
          </c:extLst>
        </c:ser>
        <c:ser>
          <c:idx val="4"/>
          <c:order val="4"/>
          <c:tx>
            <c:strRef>
              <c:f>'PS4.01_Ind01'!$B$17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'PS4.01_Ind01'!$D$17:$I$17</c:f>
              <c:numCache>
                <c:formatCode>0%</c:formatCode>
                <c:ptCount val="6"/>
                <c:pt idx="0">
                  <c:v>1.1499999999999999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</c:v>
                </c:pt>
                <c:pt idx="4">
                  <c:v>0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F-407C-85CB-AFD8769AF71B}"/>
            </c:ext>
          </c:extLst>
        </c:ser>
        <c:ser>
          <c:idx val="5"/>
          <c:order val="5"/>
          <c:tx>
            <c:strRef>
              <c:f>'PS4.01_Ind01'!$B$18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'PS4.01_Ind01'!$D$18:$I$18</c:f>
              <c:numCache>
                <c:formatCode>0%</c:formatCode>
                <c:ptCount val="6"/>
                <c:pt idx="0">
                  <c:v>1.05</c:v>
                </c:pt>
                <c:pt idx="1">
                  <c:v>1</c:v>
                </c:pt>
                <c:pt idx="2">
                  <c:v>1.1000000000000001</c:v>
                </c:pt>
                <c:pt idx="3">
                  <c:v>1.05</c:v>
                </c:pt>
                <c:pt idx="4">
                  <c:v>0</c:v>
                </c:pt>
                <c:pt idx="5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AF-407C-85CB-AFD8769AF71B}"/>
            </c:ext>
          </c:extLst>
        </c:ser>
        <c:ser>
          <c:idx val="6"/>
          <c:order val="6"/>
          <c:tx>
            <c:strRef>
              <c:f>'PS4.01_Ind01'!$B$19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'PS4.01_Ind01'!$D$19:$I$19</c:f>
              <c:numCache>
                <c:formatCode>0%</c:formatCode>
                <c:ptCount val="6"/>
                <c:pt idx="0">
                  <c:v>0.78</c:v>
                </c:pt>
                <c:pt idx="1">
                  <c:v>0.94</c:v>
                </c:pt>
                <c:pt idx="2">
                  <c:v>0.96</c:v>
                </c:pt>
                <c:pt idx="3">
                  <c:v>1.04</c:v>
                </c:pt>
                <c:pt idx="4">
                  <c:v>0.67500000000000004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AF-407C-85CB-AFD8769AF71B}"/>
            </c:ext>
          </c:extLst>
        </c:ser>
        <c:ser>
          <c:idx val="7"/>
          <c:order val="7"/>
          <c:tx>
            <c:strRef>
              <c:f>'PS4.01_Ind01'!$B$20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'PS4.01_Ind01'!$D$20:$I$20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1.05</c:v>
                </c:pt>
                <c:pt idx="2">
                  <c:v>1.25</c:v>
                </c:pt>
                <c:pt idx="3">
                  <c:v>1.23</c:v>
                </c:pt>
                <c:pt idx="4">
                  <c:v>1.075</c:v>
                </c:pt>
                <c:pt idx="5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AF-407C-85CB-AFD8769AF71B}"/>
            </c:ext>
          </c:extLst>
        </c:ser>
        <c:ser>
          <c:idx val="8"/>
          <c:order val="8"/>
          <c:tx>
            <c:strRef>
              <c:f>'PS4.01_Ind01'!$B$21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'PS4.01_Ind01'!$D$21:$I$21</c:f>
              <c:numCache>
                <c:formatCode>0%</c:formatCode>
                <c:ptCount val="6"/>
                <c:pt idx="0">
                  <c:v>0.97</c:v>
                </c:pt>
                <c:pt idx="1">
                  <c:v>0.99</c:v>
                </c:pt>
                <c:pt idx="2">
                  <c:v>1.03</c:v>
                </c:pt>
                <c:pt idx="3">
                  <c:v>1.1499999999999999</c:v>
                </c:pt>
                <c:pt idx="4">
                  <c:v>1.133</c:v>
                </c:pt>
                <c:pt idx="5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AF-407C-85CB-AFD8769AF71B}"/>
            </c:ext>
          </c:extLst>
        </c:ser>
        <c:ser>
          <c:idx val="9"/>
          <c:order val="9"/>
          <c:tx>
            <c:strRef>
              <c:f>'PS4.01_Ind01'!$B$22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'PS4.01_Ind01'!$D$22:$I$22</c:f>
              <c:numCache>
                <c:formatCode>0%</c:formatCode>
                <c:ptCount val="6"/>
                <c:pt idx="0">
                  <c:v>1.82</c:v>
                </c:pt>
                <c:pt idx="1">
                  <c:v>1.06</c:v>
                </c:pt>
                <c:pt idx="2">
                  <c:v>1.0900000000000001</c:v>
                </c:pt>
                <c:pt idx="3">
                  <c:v>1.1200000000000001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AF-407C-85CB-AFD8769AF71B}"/>
            </c:ext>
          </c:extLst>
        </c:ser>
        <c:ser>
          <c:idx val="10"/>
          <c:order val="10"/>
          <c:tx>
            <c:strRef>
              <c:f>'PS4.01_Ind01'!$B$23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'PS4.01_Ind01'!$D$23:$I$23</c:f>
              <c:numCache>
                <c:formatCode>0%</c:formatCode>
                <c:ptCount val="6"/>
                <c:pt idx="0">
                  <c:v>0</c:v>
                </c:pt>
                <c:pt idx="1">
                  <c:v>1.03</c:v>
                </c:pt>
                <c:pt idx="2">
                  <c:v>1.04</c:v>
                </c:pt>
                <c:pt idx="3">
                  <c:v>1.1000000000000001</c:v>
                </c:pt>
                <c:pt idx="4">
                  <c:v>0.97499999999999998</c:v>
                </c:pt>
                <c:pt idx="5">
                  <c:v>0.99160000000000004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AF-407C-85CB-AFD8769AF71B}"/>
            </c:ext>
          </c:extLst>
        </c:ser>
        <c:ser>
          <c:idx val="11"/>
          <c:order val="11"/>
          <c:tx>
            <c:strRef>
              <c:f>'PS4.01_Ind01'!$B$24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'PS4.01_Ind01'!$D$24:$I$24</c:f>
              <c:numCache>
                <c:formatCode>0%</c:formatCode>
                <c:ptCount val="6"/>
                <c:pt idx="0">
                  <c:v>0.88</c:v>
                </c:pt>
                <c:pt idx="1">
                  <c:v>1.02</c:v>
                </c:pt>
                <c:pt idx="2">
                  <c:v>1.06</c:v>
                </c:pt>
                <c:pt idx="3">
                  <c:v>1.1599999999999999</c:v>
                </c:pt>
                <c:pt idx="4">
                  <c:v>1.26</c:v>
                </c:pt>
                <c:pt idx="5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AF-407C-85CB-AFD8769AF71B}"/>
            </c:ext>
          </c:extLst>
        </c:ser>
        <c:ser>
          <c:idx val="12"/>
          <c:order val="12"/>
          <c:tx>
            <c:strRef>
              <c:f>'PS4.01_Ind01'!$B$25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'PS4.01_Ind01'!$D$25:$I$25</c:f>
              <c:numCache>
                <c:formatCode>0%</c:formatCode>
                <c:ptCount val="6"/>
                <c:pt idx="0">
                  <c:v>1.04</c:v>
                </c:pt>
                <c:pt idx="1">
                  <c:v>0.8</c:v>
                </c:pt>
                <c:pt idx="2">
                  <c:v>0.68</c:v>
                </c:pt>
                <c:pt idx="3">
                  <c:v>0.96</c:v>
                </c:pt>
                <c:pt idx="4">
                  <c:v>1.24</c:v>
                </c:pt>
                <c:pt idx="5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AF-407C-85CB-AFD8769AF71B}"/>
            </c:ext>
          </c:extLst>
        </c:ser>
        <c:ser>
          <c:idx val="13"/>
          <c:order val="13"/>
          <c:tx>
            <c:strRef>
              <c:f>'PS4.01_Ind01'!$B$26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'PS4.01_Ind01'!$D$26:$I$26</c:f>
              <c:numCache>
                <c:formatCode>0%</c:formatCode>
                <c:ptCount val="6"/>
                <c:pt idx="0">
                  <c:v>0.84</c:v>
                </c:pt>
                <c:pt idx="1">
                  <c:v>0.68</c:v>
                </c:pt>
                <c:pt idx="2">
                  <c:v>0.6</c:v>
                </c:pt>
                <c:pt idx="3">
                  <c:v>0.44</c:v>
                </c:pt>
                <c:pt idx="4">
                  <c:v>0.92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AF-407C-85CB-AFD8769AF71B}"/>
            </c:ext>
          </c:extLst>
        </c:ser>
        <c:ser>
          <c:idx val="14"/>
          <c:order val="14"/>
          <c:tx>
            <c:strRef>
              <c:f>'PS4.01_Ind01'!$B$27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'PS4.01_Ind01'!$D$27:$I$27</c:f>
              <c:numCache>
                <c:formatCode>0%</c:formatCode>
                <c:ptCount val="6"/>
                <c:pt idx="0">
                  <c:v>1</c:v>
                </c:pt>
                <c:pt idx="1">
                  <c:v>0.77</c:v>
                </c:pt>
                <c:pt idx="2">
                  <c:v>1.2</c:v>
                </c:pt>
                <c:pt idx="3">
                  <c:v>1.2</c:v>
                </c:pt>
                <c:pt idx="4">
                  <c:v>1.333</c:v>
                </c:pt>
                <c:pt idx="5">
                  <c:v>1.633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AF-407C-85CB-AFD8769AF71B}"/>
            </c:ext>
          </c:extLst>
        </c:ser>
        <c:ser>
          <c:idx val="15"/>
          <c:order val="15"/>
          <c:tx>
            <c:strRef>
              <c:f>'PS4.01_Ind01'!$B$28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'PS4.01_Ind01'!$D$28:$I$28</c:f>
              <c:numCache>
                <c:formatCode>0%</c:formatCode>
                <c:ptCount val="6"/>
                <c:pt idx="0">
                  <c:v>0.92</c:v>
                </c:pt>
                <c:pt idx="1">
                  <c:v>0.84</c:v>
                </c:pt>
                <c:pt idx="2">
                  <c:v>0.88</c:v>
                </c:pt>
                <c:pt idx="3">
                  <c:v>0.47</c:v>
                </c:pt>
                <c:pt idx="4">
                  <c:v>0.6</c:v>
                </c:pt>
                <c:pt idx="5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AF-407C-85CB-AFD8769AF71B}"/>
            </c:ext>
          </c:extLst>
        </c:ser>
        <c:ser>
          <c:idx val="16"/>
          <c:order val="16"/>
          <c:tx>
            <c:strRef>
              <c:f>'PS4.01_Ind01'!$B$29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'PS4.01_Ind01'!$D$29:$I$29</c:f>
              <c:numCache>
                <c:formatCode>0%</c:formatCode>
                <c:ptCount val="6"/>
                <c:pt idx="0">
                  <c:v>0.23</c:v>
                </c:pt>
                <c:pt idx="1">
                  <c:v>0.17</c:v>
                </c:pt>
                <c:pt idx="2">
                  <c:v>0.43</c:v>
                </c:pt>
                <c:pt idx="3">
                  <c:v>0.24</c:v>
                </c:pt>
                <c:pt idx="4">
                  <c:v>0</c:v>
                </c:pt>
                <c:pt idx="5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5AF-407C-85CB-AFD8769AF71B}"/>
            </c:ext>
          </c:extLst>
        </c:ser>
        <c:ser>
          <c:idx val="17"/>
          <c:order val="17"/>
          <c:tx>
            <c:strRef>
              <c:f>'PS4.01_Ind01'!$B$30</c:f>
              <c:strCache>
                <c:ptCount val="1"/>
                <c:pt idx="0">
                  <c:v> Química Industrial i Introducció a la Recerca de la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'PS4.01_Ind01'!$D$12:$I$12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'PS4.01_Ind01'!$D$30:$I$30</c:f>
              <c:numCache>
                <c:formatCode>0%</c:formatCode>
                <c:ptCount val="6"/>
                <c:pt idx="0">
                  <c:v>1.22</c:v>
                </c:pt>
                <c:pt idx="1">
                  <c:v>0.89</c:v>
                </c:pt>
                <c:pt idx="2">
                  <c:v>0.96</c:v>
                </c:pt>
                <c:pt idx="3">
                  <c:v>0.82</c:v>
                </c:pt>
                <c:pt idx="4">
                  <c:v>0.97499999999999998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5AF-407C-85CB-AFD8769A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3868240"/>
        <c:axId val="1496622160"/>
      </c:barChart>
      <c:lineChart>
        <c:grouping val="standard"/>
        <c:varyColors val="0"/>
        <c:ser>
          <c:idx val="18"/>
          <c:order val="18"/>
          <c:tx>
            <c:strRef>
              <c:f>'PS4.01_Ind01'!$B$33</c:f>
              <c:strCache>
                <c:ptCount val="1"/>
                <c:pt idx="0">
                  <c:v>Objectiu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'PS4.01_Ind01'!$D$33:$I$33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5AF-407C-85CB-AFD8769A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68240"/>
        <c:axId val="1496622160"/>
      </c:lineChart>
      <c:catAx>
        <c:axId val="13738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6622160"/>
        <c:crosses val="autoZero"/>
        <c:auto val="1"/>
        <c:lblAlgn val="ctr"/>
        <c:lblOffset val="100"/>
        <c:noMultiLvlLbl val="0"/>
      </c:catAx>
      <c:valAx>
        <c:axId val="14966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386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PS4.02_Ind02. Valoració mitjana de la pregunta “Els serveis de suport a l’estudiant (informació, matriculació, tràmits acadèmics, beques, orientació, etc.) m’han ofert un bon assessorament i atenció”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'PS4.01_Ind02'!$B$13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'PS4.01_Ind02'!$D$13:$H$13</c:f>
              <c:numCache>
                <c:formatCode>General</c:formatCode>
                <c:ptCount val="5"/>
                <c:pt idx="0">
                  <c:v>3.82</c:v>
                </c:pt>
                <c:pt idx="1">
                  <c:v>0</c:v>
                </c:pt>
                <c:pt idx="2">
                  <c:v>3.75</c:v>
                </c:pt>
                <c:pt idx="3">
                  <c:v>3.8</c:v>
                </c:pt>
                <c:pt idx="4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64-4F13-AE3B-B4A6DDF47A70}"/>
            </c:ext>
          </c:extLst>
        </c:ser>
        <c:ser>
          <c:idx val="1"/>
          <c:order val="1"/>
          <c:tx>
            <c:strRef>
              <c:f>'PS4.01_Ind02'!$B$14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64-4F13-AE3B-B4A6DDF47A70}"/>
            </c:ext>
          </c:extLst>
        </c:ser>
        <c:ser>
          <c:idx val="2"/>
          <c:order val="2"/>
          <c:tx>
            <c:strRef>
              <c:f>'PS4.01_Ind02'!$B$15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'PS4.01_Ind02'!$D$15:$H$15</c:f>
              <c:numCache>
                <c:formatCode>General</c:formatCode>
                <c:ptCount val="5"/>
                <c:pt idx="0">
                  <c:v>0</c:v>
                </c:pt>
                <c:pt idx="1">
                  <c:v>3.8</c:v>
                </c:pt>
                <c:pt idx="2">
                  <c:v>3.83</c:v>
                </c:pt>
                <c:pt idx="3">
                  <c:v>3</c:v>
                </c:pt>
                <c:pt idx="4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64-4F13-AE3B-B4A6DDF47A70}"/>
            </c:ext>
          </c:extLst>
        </c:ser>
        <c:ser>
          <c:idx val="3"/>
          <c:order val="3"/>
          <c:tx>
            <c:strRef>
              <c:f>'PS4.01_Ind02'!$B$16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'PS4.01_Ind02'!$D$16:$H$16</c:f>
              <c:numCache>
                <c:formatCode>General</c:formatCode>
                <c:ptCount val="5"/>
                <c:pt idx="0">
                  <c:v>2.67</c:v>
                </c:pt>
                <c:pt idx="1">
                  <c:v>3.19</c:v>
                </c:pt>
                <c:pt idx="2">
                  <c:v>3.92</c:v>
                </c:pt>
                <c:pt idx="3">
                  <c:v>2.17</c:v>
                </c:pt>
                <c:pt idx="4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64-4F13-AE3B-B4A6DDF47A70}"/>
            </c:ext>
          </c:extLst>
        </c:ser>
        <c:ser>
          <c:idx val="4"/>
          <c:order val="4"/>
          <c:tx>
            <c:strRef>
              <c:f>'PS4.01_Ind02'!$B$17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64-4F13-AE3B-B4A6DDF47A70}"/>
            </c:ext>
          </c:extLst>
        </c:ser>
        <c:ser>
          <c:idx val="5"/>
          <c:order val="5"/>
          <c:tx>
            <c:strRef>
              <c:f>'PS4.01_Ind02'!$B$18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'PS4.01_Ind02'!$D$18:$H$18</c:f>
              <c:numCache>
                <c:formatCode>General</c:formatCode>
                <c:ptCount val="5"/>
                <c:pt idx="0">
                  <c:v>3.63</c:v>
                </c:pt>
                <c:pt idx="1">
                  <c:v>3.86</c:v>
                </c:pt>
                <c:pt idx="2">
                  <c:v>0</c:v>
                </c:pt>
                <c:pt idx="3">
                  <c:v>3.5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64-4F13-AE3B-B4A6DDF47A70}"/>
            </c:ext>
          </c:extLst>
        </c:ser>
        <c:ser>
          <c:idx val="6"/>
          <c:order val="6"/>
          <c:tx>
            <c:strRef>
              <c:f>'PS4.01_Ind02'!$B$19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'PS4.01_Ind02'!$D$19:$H$19</c:f>
              <c:numCache>
                <c:formatCode>General</c:formatCode>
                <c:ptCount val="5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64-4F13-AE3B-B4A6DDF47A70}"/>
            </c:ext>
          </c:extLst>
        </c:ser>
        <c:ser>
          <c:idx val="7"/>
          <c:order val="7"/>
          <c:tx>
            <c:strRef>
              <c:f>'PS4.01_Ind02'!$B$20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'PS4.01_Ind02'!$D$20:$H$20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64-4F13-AE3B-B4A6DDF47A70}"/>
            </c:ext>
          </c:extLst>
        </c:ser>
        <c:ser>
          <c:idx val="8"/>
          <c:order val="8"/>
          <c:tx>
            <c:strRef>
              <c:f>'PS4.01_Ind02'!$B$21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'PS4.01_Ind02'!$D$21:$H$21</c:f>
              <c:numCache>
                <c:formatCode>General</c:formatCode>
                <c:ptCount val="5"/>
                <c:pt idx="0">
                  <c:v>3.4</c:v>
                </c:pt>
                <c:pt idx="1">
                  <c:v>3.21</c:v>
                </c:pt>
                <c:pt idx="2">
                  <c:v>3.36</c:v>
                </c:pt>
                <c:pt idx="3">
                  <c:v>4</c:v>
                </c:pt>
                <c:pt idx="4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364-4F13-AE3B-B4A6DDF47A70}"/>
            </c:ext>
          </c:extLst>
        </c:ser>
        <c:ser>
          <c:idx val="9"/>
          <c:order val="9"/>
          <c:tx>
            <c:strRef>
              <c:f>'PS4.01_Ind02'!$B$22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'PS4.01_Ind02'!$D$22:$H$22</c:f>
              <c:numCache>
                <c:formatCode>General</c:formatCode>
                <c:ptCount val="5"/>
                <c:pt idx="0">
                  <c:v>2.73</c:v>
                </c:pt>
                <c:pt idx="1">
                  <c:v>3.11</c:v>
                </c:pt>
                <c:pt idx="2">
                  <c:v>3.4</c:v>
                </c:pt>
                <c:pt idx="3">
                  <c:v>4</c:v>
                </c:pt>
                <c:pt idx="4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64-4F13-AE3B-B4A6DDF47A70}"/>
            </c:ext>
          </c:extLst>
        </c:ser>
        <c:ser>
          <c:idx val="10"/>
          <c:order val="10"/>
          <c:tx>
            <c:strRef>
              <c:f>'PS4.01_Ind02'!$B$23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'PS4.01_Ind02'!$D$12:$H$12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'PS4.01_Ind02'!$D$23:$H$23</c:f>
              <c:numCache>
                <c:formatCode>General</c:formatCode>
                <c:ptCount val="5"/>
                <c:pt idx="0">
                  <c:v>2.65</c:v>
                </c:pt>
                <c:pt idx="1">
                  <c:v>3.37</c:v>
                </c:pt>
                <c:pt idx="2">
                  <c:v>3.08</c:v>
                </c:pt>
                <c:pt idx="3">
                  <c:v>4.25</c:v>
                </c:pt>
                <c:pt idx="4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64-4F13-AE3B-B4A6DDF4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1709984"/>
        <c:axId val="1770293728"/>
      </c:barChart>
      <c:lineChart>
        <c:grouping val="standard"/>
        <c:varyColors val="0"/>
        <c:ser>
          <c:idx val="11"/>
          <c:order val="11"/>
          <c:tx>
            <c:strRef>
              <c:f>'PS4.01_Ind02'!$B$26</c:f>
              <c:strCache>
                <c:ptCount val="1"/>
                <c:pt idx="0">
                  <c:v>Valor objectiu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'PS4.01_Ind02'!$D$26:$H$26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364-4F13-AE3B-B4A6DDF4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709984"/>
        <c:axId val="1770293728"/>
      </c:lineChart>
      <c:catAx>
        <c:axId val="13317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70293728"/>
        <c:crosses val="autoZero"/>
        <c:auto val="1"/>
        <c:lblAlgn val="ctr"/>
        <c:lblOffset val="100"/>
        <c:noMultiLvlLbl val="0"/>
      </c:catAx>
      <c:valAx>
        <c:axId val="177029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317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PS4.02_Ind01. Percentatge de Taules de Mesures Correctores (TMC) retornades respecte de les TMC emeses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0.379298556430446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'PS4.02_Ind01'!$C$14</c:f>
              <c:strCache>
                <c:ptCount val="1"/>
                <c:pt idx="0">
                  <c:v>% Compliment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'PS4.02_Ind01'!$D$11:$I$11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'PS4.02_Ind01'!$D$14:$I$14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0.8571428571428571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9-4130-8022-4B36DF393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1734704"/>
        <c:axId val="1259628368"/>
      </c:barChart>
      <c:lineChart>
        <c:grouping val="standard"/>
        <c:varyColors val="0"/>
        <c:ser>
          <c:idx val="1"/>
          <c:order val="1"/>
          <c:tx>
            <c:strRef>
              <c:f>'PS4.02_Ind01'!$C$15</c:f>
              <c:strCache>
                <c:ptCount val="1"/>
                <c:pt idx="0">
                  <c:v>Valor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'PS4.02_Ind01'!$D$15:$I$15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9-4130-8022-4B36DF393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734704"/>
        <c:axId val="1259628368"/>
      </c:lineChart>
      <c:catAx>
        <c:axId val="120173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9628368"/>
        <c:crosses val="autoZero"/>
        <c:auto val="1"/>
        <c:lblAlgn val="ctr"/>
        <c:lblOffset val="100"/>
        <c:noMultiLvlLbl val="0"/>
      </c:catAx>
      <c:valAx>
        <c:axId val="12596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0173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PS4.02_Ind02. Nombre d’informes d’avaluació retornats respecte del total rebuts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'PS4.02_Ind02'!$D$11:$H$11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'PS4.02_Ind02'!$D$14:$H$14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8-447F-A39C-71D290EEE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lineChart>
        <c:grouping val="standard"/>
        <c:varyColors val="1"/>
        <c:ser>
          <c:idx val="1"/>
          <c:order val="1"/>
          <c:tx>
            <c:strRef>
              <c:f>'PS4.02_Ind02'!$C$15</c:f>
              <c:strCache>
                <c:ptCount val="1"/>
                <c:pt idx="0">
                  <c:v>VALOR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'PS4.02_Ind02'!$D$11:$G$11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'PS4.02_Ind02'!$D$15:$H$15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C-4F8A-92E8-A055F99E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23127"/>
        <c:axId val="517237689"/>
      </c:lineChart>
      <c:catAx>
        <c:axId val="1151423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1423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PS4.02_Ind03. Percentatge de queixes i suggeriments respostos dins de termini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'PS4.02_Ind03'!$C$13</c:f>
              <c:strCache>
                <c:ptCount val="1"/>
                <c:pt idx="0">
                  <c:v>% Compliment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'PS4.02_Ind03'!$D$11:$I$11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'PS4.02_Ind03'!$D$13:$I$13</c:f>
              <c:numCache>
                <c:formatCode>0.00%</c:formatCode>
                <c:ptCount val="6"/>
                <c:pt idx="0">
                  <c:v>0.8</c:v>
                </c:pt>
                <c:pt idx="1">
                  <c:v>0.82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C96-8D4F-8B597131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lineChart>
        <c:grouping val="standard"/>
        <c:varyColors val="1"/>
        <c:ser>
          <c:idx val="1"/>
          <c:order val="1"/>
          <c:tx>
            <c:strRef>
              <c:f>'PS4.02_Ind03'!$C$14</c:f>
              <c:strCache>
                <c:ptCount val="1"/>
                <c:pt idx="0">
                  <c:v>VALOR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'PS4.02_Ind03'!$D$11:$G$11</c:f>
              <c:strCache>
                <c:ptCount val="4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</c:strCache>
            </c:strRef>
          </c:cat>
          <c:val>
            <c:numRef>
              <c:f>'PS4.02_Ind03'!$D$14:$I$14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4-4C96-8D4F-8B597131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23127"/>
        <c:axId val="517237689"/>
      </c:lineChart>
      <c:catAx>
        <c:axId val="1151423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1423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PE1.01_Ind02.  Percentatge de propostes de millora implementades </a:t>
            </a:r>
            <a:r>
              <a:rPr lang="es-ES" sz="1200" b="1" i="0" u="none" strike="sngStrike" baseline="0">
                <a:effectLst/>
              </a:rPr>
              <a:t>,</a:t>
            </a:r>
            <a:r>
              <a:rPr lang="es-ES" sz="1200" b="1" i="0" u="none" strike="noStrike" baseline="0">
                <a:effectLst/>
              </a:rPr>
              <a:t> per curs acadèmic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'PE1.02_Ind01'!$B$12:$C$12</c:f>
              <c:strCache>
                <c:ptCount val="2"/>
                <c:pt idx="0">
                  <c:v>Valor real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'PE1.02_Ind01'!$F$11:$I$11</c:f>
              <c:strCache>
                <c:ptCount val="4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  <c:pt idx="3">
                  <c:v>2022/2023</c:v>
                </c:pt>
              </c:strCache>
            </c:strRef>
          </c:cat>
          <c:val>
            <c:numRef>
              <c:f>'PE1.02_Ind01'!$F$12:$I$12</c:f>
              <c:numCache>
                <c:formatCode>0%</c:formatCode>
                <c:ptCount val="4"/>
                <c:pt idx="0" formatCode="0.00%">
                  <c:v>0.96299999999999997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0-4527-A456-CA98A1B1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9502592"/>
        <c:axId val="1289896992"/>
      </c:barChart>
      <c:lineChart>
        <c:grouping val="standard"/>
        <c:varyColors val="0"/>
        <c:ser>
          <c:idx val="1"/>
          <c:order val="1"/>
          <c:tx>
            <c:strRef>
              <c:f>'PE1.02_Ind01'!$B$13:$C$13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'PE1.02_Ind01'!$H$11:$I$11</c:f>
              <c:strCache>
                <c:ptCount val="2"/>
                <c:pt idx="0">
                  <c:v>2021/2022</c:v>
                </c:pt>
                <c:pt idx="1">
                  <c:v>2022/2023</c:v>
                </c:pt>
              </c:strCache>
            </c:strRef>
          </c:cat>
          <c:val>
            <c:numRef>
              <c:f>'PE1.02_Ind01'!$F$13:$I$13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0-4527-A456-CA98A1B1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502592"/>
        <c:axId val="1289896992"/>
      </c:lineChart>
      <c:catAx>
        <c:axId val="14995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89896992"/>
        <c:crosses val="autoZero"/>
        <c:auto val="1"/>
        <c:lblAlgn val="ctr"/>
        <c:lblOffset val="100"/>
        <c:noMultiLvlLbl val="0"/>
      </c:catAx>
      <c:valAx>
        <c:axId val="12898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995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PS4.02_Ind02. Nombre d’informes d’avaluació retornats respecte del total rebuts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'PS4.02_Ind04'!$C$12</c:f>
              <c:strCache>
                <c:ptCount val="1"/>
                <c:pt idx="0">
                  <c:v>Dies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'PS4.02_Ind04'!$D$11:$I$11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'PS4.02_Ind04'!$D$12:$I$12</c:f>
              <c:numCache>
                <c:formatCode>General</c:formatCode>
                <c:ptCount val="6"/>
                <c:pt idx="0">
                  <c:v>0</c:v>
                </c:pt>
                <c:pt idx="1">
                  <c:v>11.19</c:v>
                </c:pt>
                <c:pt idx="2">
                  <c:v>8.0500000000000007</c:v>
                </c:pt>
                <c:pt idx="3">
                  <c:v>3.94</c:v>
                </c:pt>
                <c:pt idx="4">
                  <c:v>5.72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D-4297-B230-5C9BA2EA3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lineChart>
        <c:grouping val="standard"/>
        <c:varyColors val="1"/>
        <c:ser>
          <c:idx val="1"/>
          <c:order val="1"/>
          <c:tx>
            <c:strRef>
              <c:f>'PS4.02_Ind04'!$C$14</c:f>
              <c:strCache>
                <c:ptCount val="1"/>
                <c:pt idx="0">
                  <c:v>VALOR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'PS4.02_Ind04'!$D$11:$G$11</c:f>
              <c:strCache>
                <c:ptCount val="4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</c:strCache>
            </c:strRef>
          </c:cat>
          <c:val>
            <c:numRef>
              <c:f>'PS4.02_Ind04'!$D$14:$I$14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D-4297-B230-5C9BA2EA3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423127"/>
        <c:axId val="517237689"/>
      </c:lineChart>
      <c:catAx>
        <c:axId val="1151423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1423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PS4.03_Ind01. PDI permanent desglossat per categoria i sexe.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'PS4.03_Ind01'!$B$61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'PS4.03_Ind01'!$D$50:$F$50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'PS4.03_Ind01'!$C$61:$E$61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7342-4E30-A64B-F060189F6BE1}"/>
            </c:ext>
          </c:extLst>
        </c:ser>
        <c:ser>
          <c:idx val="1"/>
          <c:order val="1"/>
          <c:tx>
            <c:strRef>
              <c:f>'PS4.03_Ind01'!$C$51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'PS4.03_Ind01'!$D$50:$F$50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'PS4.03_Ind01'!$D$51:$F$51</c:f>
              <c:numCache>
                <c:formatCode>0.00%</c:formatCode>
                <c:ptCount val="3"/>
                <c:pt idx="0">
                  <c:v>0.128</c:v>
                </c:pt>
                <c:pt idx="1">
                  <c:v>0.128</c:v>
                </c:pt>
                <c:pt idx="2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2-4E30-A64B-F060189F6BE1}"/>
            </c:ext>
          </c:extLst>
        </c:ser>
        <c:ser>
          <c:idx val="2"/>
          <c:order val="2"/>
          <c:tx>
            <c:strRef>
              <c:f>'PS4.03_Ind01'!$C$52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'PS4.03_Ind01'!$D$50:$F$50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'PS4.03_Ind01'!$D$52:$F$52</c:f>
              <c:numCache>
                <c:formatCode>0.00%</c:formatCode>
                <c:ptCount val="3"/>
                <c:pt idx="0">
                  <c:v>0.36199999999999999</c:v>
                </c:pt>
                <c:pt idx="1">
                  <c:v>0.36199999999999999</c:v>
                </c:pt>
                <c:pt idx="2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42-4E30-A64B-F060189F6BE1}"/>
            </c:ext>
          </c:extLst>
        </c:ser>
        <c:ser>
          <c:idx val="3"/>
          <c:order val="3"/>
          <c:tx>
            <c:strRef>
              <c:f>'PS4.03_Ind01'!$C$53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'PS4.03_Ind01'!$D$50:$F$50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'PS4.03_Ind01'!$D$53:$F$53</c:f>
              <c:numCache>
                <c:formatCode>0.00%</c:formatCode>
                <c:ptCount val="3"/>
                <c:pt idx="0">
                  <c:v>0.14799999999999999</c:v>
                </c:pt>
                <c:pt idx="1">
                  <c:v>0.14799999999999999</c:v>
                </c:pt>
                <c:pt idx="2">
                  <c:v>0.28299999999999997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42-4E30-A64B-F060189F6BE1}"/>
            </c:ext>
          </c:extLst>
        </c:ser>
        <c:ser>
          <c:idx val="4"/>
          <c:order val="4"/>
          <c:tx>
            <c:strRef>
              <c:f>'PS4.03_Ind01'!$C$54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'PS4.03_Ind01'!$D$50:$F$50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'PS4.03_Ind01'!$D$54:$F$54</c:f>
              <c:numCache>
                <c:formatCode>0.00%</c:formatCode>
                <c:ptCount val="3"/>
                <c:pt idx="0">
                  <c:v>0.27300000000000002</c:v>
                </c:pt>
                <c:pt idx="1">
                  <c:v>0.27300000000000002</c:v>
                </c:pt>
                <c:pt idx="2">
                  <c:v>0.20599999999999999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42-4E30-A64B-F060189F6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6820176"/>
        <c:axId val="1345493344"/>
      </c:barChart>
      <c:lineChart>
        <c:grouping val="standard"/>
        <c:varyColors val="0"/>
        <c:ser>
          <c:idx val="5"/>
          <c:order val="5"/>
          <c:tx>
            <c:strRef>
              <c:f>'PS4.03_Ind01'!$C$55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'PS4.03_Ind01'!$D$55:$F$55</c:f>
              <c:numCache>
                <c:formatCode>0%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42-4E30-A64B-F060189F6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820176"/>
        <c:axId val="1345493344"/>
      </c:lineChart>
      <c:catAx>
        <c:axId val="125682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5493344"/>
        <c:crosses val="autoZero"/>
        <c:auto val="1"/>
        <c:lblAlgn val="ctr"/>
        <c:lblOffset val="100"/>
        <c:noMultiLvlLbl val="0"/>
      </c:catAx>
      <c:valAx>
        <c:axId val="13454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5682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600" b="1" i="0" u="none" strike="noStrike" baseline="0">
                <a:effectLst/>
              </a:rPr>
              <a:t>PS4.03_Ind02 Percentatge d’hores de docència impartides per PDI amb títol de doctor 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'PS4.03_Ind02'!$B$37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'PS4.03_Ind02'!$C$37:$E$37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C4E-483D-A574-D12A53B3ED78}"/>
            </c:ext>
          </c:extLst>
        </c:ser>
        <c:ser>
          <c:idx val="1"/>
          <c:order val="1"/>
          <c:tx>
            <c:strRef>
              <c:f>'PS4.03_Ind02'!$B$13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'PS4.03_Ind02'!$D$13:$I$13</c:f>
              <c:numCache>
                <c:formatCode>0%</c:formatCode>
                <c:ptCount val="6"/>
                <c:pt idx="0" formatCode="0.00%">
                  <c:v>0.86799999999999999</c:v>
                </c:pt>
                <c:pt idx="1">
                  <c:v>0.79</c:v>
                </c:pt>
                <c:pt idx="2">
                  <c:v>0.78</c:v>
                </c:pt>
                <c:pt idx="3">
                  <c:v>0.76</c:v>
                </c:pt>
                <c:pt idx="4" formatCode="0.00%">
                  <c:v>0.751</c:v>
                </c:pt>
                <c:pt idx="5" formatCode="0.00%">
                  <c:v>0.74280000000000002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E-483D-A574-D12A53B3ED78}"/>
            </c:ext>
          </c:extLst>
        </c:ser>
        <c:ser>
          <c:idx val="2"/>
          <c:order val="2"/>
          <c:tx>
            <c:strRef>
              <c:f>'PS4.03_Ind02'!$B$14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'PS4.03_Ind02'!$D$14:$I$14</c:f>
              <c:numCache>
                <c:formatCode>0%</c:formatCode>
                <c:ptCount val="6"/>
                <c:pt idx="0">
                  <c:v>0.68</c:v>
                </c:pt>
                <c:pt idx="1">
                  <c:v>0.71</c:v>
                </c:pt>
                <c:pt idx="2">
                  <c:v>0.7</c:v>
                </c:pt>
                <c:pt idx="3">
                  <c:v>0.7</c:v>
                </c:pt>
                <c:pt idx="4" formatCode="0.00%">
                  <c:v>0.72189999999999999</c:v>
                </c:pt>
                <c:pt idx="5" formatCode="0.00%">
                  <c:v>0.68240000000000001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E-483D-A574-D12A53B3ED78}"/>
            </c:ext>
          </c:extLst>
        </c:ser>
        <c:ser>
          <c:idx val="3"/>
          <c:order val="3"/>
          <c:tx>
            <c:strRef>
              <c:f>'PS4.03_Ind02'!$B$15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'PS4.03_Ind02'!$D$15:$I$15</c:f>
              <c:numCache>
                <c:formatCode>0%</c:formatCode>
                <c:ptCount val="6"/>
                <c:pt idx="0">
                  <c:v>0.85</c:v>
                </c:pt>
                <c:pt idx="1">
                  <c:v>0.86</c:v>
                </c:pt>
                <c:pt idx="2">
                  <c:v>0.82</c:v>
                </c:pt>
                <c:pt idx="3">
                  <c:v>0.81</c:v>
                </c:pt>
                <c:pt idx="4" formatCode="0.00%">
                  <c:v>0.78359999999999996</c:v>
                </c:pt>
                <c:pt idx="5" formatCode="0.00%">
                  <c:v>0.87190000000000001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4E-483D-A574-D12A53B3ED78}"/>
            </c:ext>
          </c:extLst>
        </c:ser>
        <c:ser>
          <c:idx val="4"/>
          <c:order val="4"/>
          <c:tx>
            <c:strRef>
              <c:f>'PS4.03_Ind02'!$B$17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'PS4.03_Ind02'!$D$17:$I$17</c:f>
              <c:numCache>
                <c:formatCode>0%</c:formatCode>
                <c:ptCount val="6"/>
                <c:pt idx="0">
                  <c:v>0.88</c:v>
                </c:pt>
                <c:pt idx="1">
                  <c:v>0.94</c:v>
                </c:pt>
                <c:pt idx="2">
                  <c:v>0.94</c:v>
                </c:pt>
                <c:pt idx="3">
                  <c:v>0.95</c:v>
                </c:pt>
                <c:pt idx="4" formatCode="0.00%">
                  <c:v>0.93440000000000001</c:v>
                </c:pt>
                <c:pt idx="5" formatCode="0.00%">
                  <c:v>0.92849999999999999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4E-483D-A574-D12A53B3ED78}"/>
            </c:ext>
          </c:extLst>
        </c:ser>
        <c:ser>
          <c:idx val="5"/>
          <c:order val="5"/>
          <c:tx>
            <c:strRef>
              <c:f>'PS4.03_Ind02'!$B$16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'PS4.03_Ind02'!$D$16:$I$16</c:f>
              <c:numCache>
                <c:formatCode>0.00%</c:formatCode>
                <c:ptCount val="6"/>
                <c:pt idx="0" formatCode="0%">
                  <c:v>0.9</c:v>
                </c:pt>
                <c:pt idx="1">
                  <c:v>0.90400000000000003</c:v>
                </c:pt>
                <c:pt idx="2" formatCode="General">
                  <c:v>0</c:v>
                </c:pt>
                <c:pt idx="3" formatCode="0%">
                  <c:v>0.87</c:v>
                </c:pt>
                <c:pt idx="4">
                  <c:v>0.89190000000000003</c:v>
                </c:pt>
                <c:pt idx="5">
                  <c:v>0.90569999999999995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4E-483D-A574-D12A53B3ED78}"/>
            </c:ext>
          </c:extLst>
        </c:ser>
        <c:ser>
          <c:idx val="6"/>
          <c:order val="6"/>
          <c:tx>
            <c:strRef>
              <c:f>'PS4.03_Ind02'!$B$18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'PS4.03_Ind02'!$D$18:$I$18</c:f>
              <c:numCache>
                <c:formatCode>0%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0.86</c:v>
                </c:pt>
                <c:pt idx="3">
                  <c:v>0.81</c:v>
                </c:pt>
                <c:pt idx="4" formatCode="0.00%">
                  <c:v>0.78129999999999999</c:v>
                </c:pt>
                <c:pt idx="5" formatCode="0.00%">
                  <c:v>0.79469999999999996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4E-483D-A574-D12A53B3ED78}"/>
            </c:ext>
          </c:extLst>
        </c:ser>
        <c:ser>
          <c:idx val="7"/>
          <c:order val="7"/>
          <c:tx>
            <c:strRef>
              <c:f>'PS4.03_Ind02'!$B$19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'PS4.03_Ind02'!$D$19:$I$19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1</c:v>
                </c:pt>
                <c:pt idx="2">
                  <c:v>0.94</c:v>
                </c:pt>
                <c:pt idx="3">
                  <c:v>0.88</c:v>
                </c:pt>
                <c:pt idx="4" formatCode="0.00%">
                  <c:v>0.84130000000000005</c:v>
                </c:pt>
                <c:pt idx="5" formatCode="0.00%">
                  <c:v>0.83340000000000003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4E-483D-A574-D12A53B3ED78}"/>
            </c:ext>
          </c:extLst>
        </c:ser>
        <c:ser>
          <c:idx val="8"/>
          <c:order val="8"/>
          <c:tx>
            <c:strRef>
              <c:f>'PS4.03_Ind02'!$B$20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'PS4.03_Ind02'!$D$20:$I$20</c:f>
              <c:numCache>
                <c:formatCode>0%</c:formatCode>
                <c:ptCount val="6"/>
                <c:pt idx="0">
                  <c:v>0.83</c:v>
                </c:pt>
                <c:pt idx="1">
                  <c:v>0.81</c:v>
                </c:pt>
                <c:pt idx="2">
                  <c:v>0.86</c:v>
                </c:pt>
                <c:pt idx="3">
                  <c:v>0.84</c:v>
                </c:pt>
                <c:pt idx="4">
                  <c:v>0.85</c:v>
                </c:pt>
                <c:pt idx="5" formatCode="0.00%">
                  <c:v>0.83350000000000002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E-483D-A574-D12A53B3ED78}"/>
            </c:ext>
          </c:extLst>
        </c:ser>
        <c:ser>
          <c:idx val="9"/>
          <c:order val="9"/>
          <c:tx>
            <c:strRef>
              <c:f>'PS4.03_Ind02'!$B$21</c:f>
              <c:strCache>
                <c:ptCount val="1"/>
                <c:pt idx="0">
                  <c:v>CCAA +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'PS4.03_Ind02'!$D$21:$I$21</c:f>
              <c:numCache>
                <c:formatCode>0%</c:formatCode>
                <c:ptCount val="6"/>
                <c:pt idx="0">
                  <c:v>0.86</c:v>
                </c:pt>
                <c:pt idx="1">
                  <c:v>0.82</c:v>
                </c:pt>
                <c:pt idx="2">
                  <c:v>0.79</c:v>
                </c:pt>
                <c:pt idx="3" formatCode="General">
                  <c:v>0</c:v>
                </c:pt>
                <c:pt idx="4">
                  <c:v>0.75890000000000002</c:v>
                </c:pt>
                <c:pt idx="5" formatCode="0.00%">
                  <c:v>0.80820000000000003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4E-483D-A574-D12A53B3ED78}"/>
            </c:ext>
          </c:extLst>
        </c:ser>
        <c:ser>
          <c:idx val="10"/>
          <c:order val="10"/>
          <c:tx>
            <c:strRef>
              <c:f>'PS4.03_Ind02'!$B$22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'PS4.03_Ind02'!$D$22:$I$22</c:f>
              <c:numCache>
                <c:formatCode>0%</c:formatCode>
                <c:ptCount val="6"/>
                <c:pt idx="0">
                  <c:v>0.96</c:v>
                </c:pt>
                <c:pt idx="1">
                  <c:v>0.94</c:v>
                </c:pt>
                <c:pt idx="2">
                  <c:v>0.94</c:v>
                </c:pt>
                <c:pt idx="3">
                  <c:v>0.93</c:v>
                </c:pt>
                <c:pt idx="4" formatCode="0.00%">
                  <c:v>0.80759999999999998</c:v>
                </c:pt>
                <c:pt idx="5" formatCode="0.00%">
                  <c:v>0.84099999999999997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4E-483D-A574-D12A53B3ED78}"/>
            </c:ext>
          </c:extLst>
        </c:ser>
        <c:ser>
          <c:idx val="11"/>
          <c:order val="11"/>
          <c:tx>
            <c:strRef>
              <c:f>'PS4.03_Ind02'!$B$23</c:f>
              <c:strCache>
                <c:ptCount val="1"/>
                <c:pt idx="0">
                  <c:v>Física +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'PS4.03_Ind02'!$D$23:$I$23</c:f>
              <c:numCache>
                <c:formatCode>0%</c:formatCode>
                <c:ptCount val="6"/>
                <c:pt idx="0">
                  <c:v>0.85</c:v>
                </c:pt>
                <c:pt idx="1">
                  <c:v>0.87</c:v>
                </c:pt>
                <c:pt idx="2">
                  <c:v>0.9</c:v>
                </c:pt>
                <c:pt idx="3" formatCode="General">
                  <c:v>0</c:v>
                </c:pt>
                <c:pt idx="4" formatCode="0.00%">
                  <c:v>0.93269999999999997</c:v>
                </c:pt>
                <c:pt idx="5" formatCode="0.00%">
                  <c:v>0.92800000000000005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4E-483D-A574-D12A53B3ED78}"/>
            </c:ext>
          </c:extLst>
        </c:ser>
        <c:ser>
          <c:idx val="12"/>
          <c:order val="12"/>
          <c:tx>
            <c:strRef>
              <c:f>'PS4.03_Ind02'!$B$25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'PS4.03_Ind02'!$D$25:$I$25</c:f>
              <c:numCache>
                <c:formatCode>0.00%</c:formatCode>
                <c:ptCount val="6"/>
                <c:pt idx="0">
                  <c:v>0.995</c:v>
                </c:pt>
                <c:pt idx="1">
                  <c:v>0.86199999999999999</c:v>
                </c:pt>
                <c:pt idx="2">
                  <c:v>0.88400000000000001</c:v>
                </c:pt>
                <c:pt idx="3">
                  <c:v>0.89500000000000002</c:v>
                </c:pt>
                <c:pt idx="4">
                  <c:v>0.93159999999999998</c:v>
                </c:pt>
                <c:pt idx="5">
                  <c:v>0.88290000000000002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4E-483D-A574-D12A53B3ED78}"/>
            </c:ext>
          </c:extLst>
        </c:ser>
        <c:ser>
          <c:idx val="13"/>
          <c:order val="13"/>
          <c:tx>
            <c:strRef>
              <c:f>'PS4.03_Ind02'!$B$26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'PS4.03_Ind02'!$D$26:$I$26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%">
                  <c:v>0.98599999999999999</c:v>
                </c:pt>
                <c:pt idx="4" formatCode="0.00%">
                  <c:v>0.99950000000000006</c:v>
                </c:pt>
                <c:pt idx="5" formatCode="0.00%">
                  <c:v>0.77349999999999997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4E-483D-A574-D12A53B3ED78}"/>
            </c:ext>
          </c:extLst>
        </c:ser>
        <c:ser>
          <c:idx val="14"/>
          <c:order val="14"/>
          <c:tx>
            <c:strRef>
              <c:f>'PS4.03_Ind02'!$B$27</c:f>
              <c:strCache>
                <c:ptCount val="1"/>
                <c:pt idx="0">
                  <c:v>Història de la Ciència.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'PS4.03_Ind02'!$D$27:$I$27</c:f>
              <c:numCache>
                <c:formatCode>0%</c:formatCode>
                <c:ptCount val="6"/>
                <c:pt idx="0" formatCode="0.00%">
                  <c:v>0.96599999999999997</c:v>
                </c:pt>
                <c:pt idx="1">
                  <c:v>1</c:v>
                </c:pt>
                <c:pt idx="2" formatCode="0.00%">
                  <c:v>0.95599999999999996</c:v>
                </c:pt>
                <c:pt idx="3" formatCode="0.00%">
                  <c:v>0.97699999999999998</c:v>
                </c:pt>
                <c:pt idx="4" formatCode="0.00%">
                  <c:v>0.97340000000000004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4E-483D-A574-D12A53B3ED78}"/>
            </c:ext>
          </c:extLst>
        </c:ser>
        <c:ser>
          <c:idx val="15"/>
          <c:order val="15"/>
          <c:tx>
            <c:strRef>
              <c:f>'PS4.03_Ind02'!$B$28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'PS4.03_Ind02'!$D$28:$I$28</c:f>
              <c:numCache>
                <c:formatCode>0.00%</c:formatCode>
                <c:ptCount val="6"/>
                <c:pt idx="0">
                  <c:v>0.96299999999999997</c:v>
                </c:pt>
                <c:pt idx="1">
                  <c:v>0.93100000000000005</c:v>
                </c:pt>
                <c:pt idx="2" formatCode="0%">
                  <c:v>0.97</c:v>
                </c:pt>
                <c:pt idx="3" formatCode="0%">
                  <c:v>0.91</c:v>
                </c:pt>
                <c:pt idx="4">
                  <c:v>0.97499999999999998</c:v>
                </c:pt>
                <c:pt idx="5">
                  <c:v>0.96020000000000005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4E-483D-A574-D12A53B3ED78}"/>
            </c:ext>
          </c:extLst>
        </c:ser>
        <c:ser>
          <c:idx val="16"/>
          <c:order val="16"/>
          <c:tx>
            <c:strRef>
              <c:f>'PS4.03_Ind02'!$B$29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'PS4.03_Ind02'!$D$29:$I$29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 formatCode="0.00%">
                  <c:v>0.996</c:v>
                </c:pt>
                <c:pt idx="3">
                  <c:v>1</c:v>
                </c:pt>
                <c:pt idx="4" formatCode="0.00%">
                  <c:v>0.91679999999999995</c:v>
                </c:pt>
                <c:pt idx="5" formatCode="0.00%">
                  <c:v>0.91700000000000004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4E-483D-A574-D12A53B3ED78}"/>
            </c:ext>
          </c:extLst>
        </c:ser>
        <c:ser>
          <c:idx val="17"/>
          <c:order val="17"/>
          <c:tx>
            <c:strRef>
              <c:f>'PS4.03_Ind02'!$B$30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'PS4.03_Ind02'!$D$30:$I$30</c:f>
              <c:numCache>
                <c:formatCode>General</c:formatCode>
                <c:ptCount val="6"/>
                <c:pt idx="0" formatCode="0.00%">
                  <c:v>0.94199999999999995</c:v>
                </c:pt>
                <c:pt idx="1">
                  <c:v>94.4</c:v>
                </c:pt>
                <c:pt idx="2">
                  <c:v>92.4</c:v>
                </c:pt>
                <c:pt idx="3">
                  <c:v>95.5</c:v>
                </c:pt>
                <c:pt idx="4" formatCode="0%">
                  <c:v>1</c:v>
                </c:pt>
                <c:pt idx="5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4E-483D-A574-D12A53B3ED78}"/>
            </c:ext>
          </c:extLst>
        </c:ser>
        <c:ser>
          <c:idx val="18"/>
          <c:order val="18"/>
          <c:tx>
            <c:strRef>
              <c:f>'PS4.03_Ind02'!$B$31</c:f>
              <c:strCache>
                <c:ptCount val="1"/>
                <c:pt idx="0">
                  <c:v> 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'PS4.03_Ind02'!$D$12:$I$12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'PS4.03_Ind02'!$D$31:$I$31</c:f>
              <c:numCache>
                <c:formatCode>0%</c:formatCode>
                <c:ptCount val="6"/>
                <c:pt idx="0">
                  <c:v>1</c:v>
                </c:pt>
                <c:pt idx="1">
                  <c:v>0.97</c:v>
                </c:pt>
                <c:pt idx="2">
                  <c:v>0.72</c:v>
                </c:pt>
                <c:pt idx="3">
                  <c:v>0.99</c:v>
                </c:pt>
                <c:pt idx="4">
                  <c:v>1</c:v>
                </c:pt>
                <c:pt idx="5" formatCode="0.00%">
                  <c:v>0.89900000000000002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4E-483D-A574-D12A53B3E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0908528"/>
        <c:axId val="1266736544"/>
      </c:barChart>
      <c:lineChart>
        <c:grouping val="standard"/>
        <c:varyColors val="0"/>
        <c:ser>
          <c:idx val="19"/>
          <c:order val="19"/>
          <c:tx>
            <c:strRef>
              <c:f>'PS4.03_Ind02'!$B$34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'PS4.03_Ind02'!$D$34:$I$34</c:f>
              <c:numCache>
                <c:formatCode>0%</c:formatCode>
                <c:ptCount val="6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C4E-483D-A574-D12A53B3E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08528"/>
        <c:axId val="1266736544"/>
      </c:lineChart>
      <c:catAx>
        <c:axId val="13309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6736544"/>
        <c:crosses val="autoZero"/>
        <c:auto val="1"/>
        <c:lblAlgn val="ctr"/>
        <c:lblOffset val="100"/>
        <c:noMultiLvlLbl val="0"/>
      </c:catAx>
      <c:valAx>
        <c:axId val="1266736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3090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Percentatge d’hores de docència impartides pel PDI permanent.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'PS4.03_Ind03'!$B$13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'PS4.03_Ind03'!$D$13:$H$13</c:f>
              <c:numCache>
                <c:formatCode>0%</c:formatCode>
                <c:ptCount val="5"/>
                <c:pt idx="0">
                  <c:v>0.49199999999999999</c:v>
                </c:pt>
                <c:pt idx="1">
                  <c:v>0.46400000000000002</c:v>
                </c:pt>
                <c:pt idx="2">
                  <c:v>0.41799999999999998</c:v>
                </c:pt>
                <c:pt idx="3">
                  <c:v>0.44019999999999998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6-4EE0-B646-1854E1BB6A9C}"/>
            </c:ext>
          </c:extLst>
        </c:ser>
        <c:ser>
          <c:idx val="1"/>
          <c:order val="1"/>
          <c:tx>
            <c:strRef>
              <c:f>'PS4.03_Ind03'!$B$14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'PS4.03_Ind03'!$D$14:$H$14</c:f>
              <c:numCache>
                <c:formatCode>0%</c:formatCode>
                <c:ptCount val="5"/>
                <c:pt idx="0">
                  <c:v>0.50800000000000001</c:v>
                </c:pt>
                <c:pt idx="1">
                  <c:v>0.46200000000000002</c:v>
                </c:pt>
                <c:pt idx="2">
                  <c:v>0.48799999999999999</c:v>
                </c:pt>
                <c:pt idx="3">
                  <c:v>0.4491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6-4EE0-B646-1854E1BB6A9C}"/>
            </c:ext>
          </c:extLst>
        </c:ser>
        <c:ser>
          <c:idx val="2"/>
          <c:order val="2"/>
          <c:tx>
            <c:strRef>
              <c:f>'PS4.03_Ind03'!$B$15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'PS4.03_Ind03'!$D$15:$H$15</c:f>
              <c:numCache>
                <c:formatCode>0%</c:formatCode>
                <c:ptCount val="5"/>
                <c:pt idx="0">
                  <c:v>0.52</c:v>
                </c:pt>
                <c:pt idx="1">
                  <c:v>0.45700000000000002</c:v>
                </c:pt>
                <c:pt idx="2">
                  <c:v>0.38700000000000001</c:v>
                </c:pt>
                <c:pt idx="3">
                  <c:v>0.43730000000000002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E6-4EE0-B646-1854E1BB6A9C}"/>
            </c:ext>
          </c:extLst>
        </c:ser>
        <c:ser>
          <c:idx val="3"/>
          <c:order val="3"/>
          <c:tx>
            <c:strRef>
              <c:f>'PS4.03_Ind03'!$B$16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'PS4.03_Ind03'!$D$16:$H$16</c:f>
              <c:numCache>
                <c:formatCode>0%</c:formatCode>
                <c:ptCount val="5"/>
                <c:pt idx="0">
                  <c:v>0.68600000000000005</c:v>
                </c:pt>
                <c:pt idx="1">
                  <c:v>0.67900000000000005</c:v>
                </c:pt>
                <c:pt idx="2">
                  <c:v>0.68400000000000005</c:v>
                </c:pt>
                <c:pt idx="3">
                  <c:v>0.69730000000000003</c:v>
                </c:pt>
                <c:pt idx="4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E6-4EE0-B646-1854E1BB6A9C}"/>
            </c:ext>
          </c:extLst>
        </c:ser>
        <c:ser>
          <c:idx val="4"/>
          <c:order val="4"/>
          <c:tx>
            <c:strRef>
              <c:f>'PS4.03_Ind03'!$B$17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'PS4.03_Ind03'!$D$17:$H$17</c:f>
              <c:numCache>
                <c:formatCode>0%</c:formatCode>
                <c:ptCount val="5"/>
                <c:pt idx="0">
                  <c:v>0.71499999999999997</c:v>
                </c:pt>
                <c:pt idx="1">
                  <c:v>0.70899999999999996</c:v>
                </c:pt>
                <c:pt idx="2">
                  <c:v>0.64500000000000002</c:v>
                </c:pt>
                <c:pt idx="3">
                  <c:v>0.57050000000000001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E6-4EE0-B646-1854E1BB6A9C}"/>
            </c:ext>
          </c:extLst>
        </c:ser>
        <c:ser>
          <c:idx val="5"/>
          <c:order val="5"/>
          <c:tx>
            <c:strRef>
              <c:f>'PS4.03_Ind03'!$B$18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'PS4.03_Ind03'!$D$18:$H$18</c:f>
              <c:numCache>
                <c:formatCode>0%</c:formatCode>
                <c:ptCount val="5"/>
                <c:pt idx="0">
                  <c:v>0.76700000000000002</c:v>
                </c:pt>
                <c:pt idx="1">
                  <c:v>0.78200000000000003</c:v>
                </c:pt>
                <c:pt idx="2">
                  <c:v>0.72399999999999998</c:v>
                </c:pt>
                <c:pt idx="3">
                  <c:v>0.74019999999999997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E6-4EE0-B646-1854E1BB6A9C}"/>
            </c:ext>
          </c:extLst>
        </c:ser>
        <c:ser>
          <c:idx val="6"/>
          <c:order val="6"/>
          <c:tx>
            <c:strRef>
              <c:f>'PS4.03_Ind03'!$B$19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'PS4.03_Ind03'!$D$19:$H$19</c:f>
              <c:numCache>
                <c:formatCode>0%</c:formatCode>
                <c:ptCount val="5"/>
                <c:pt idx="0">
                  <c:v>0.54600000000000004</c:v>
                </c:pt>
                <c:pt idx="1">
                  <c:v>0.501</c:v>
                </c:pt>
                <c:pt idx="2">
                  <c:v>0.53300000000000003</c:v>
                </c:pt>
                <c:pt idx="3">
                  <c:v>0.48099999999999998</c:v>
                </c:pt>
                <c:pt idx="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6-4EE0-B646-1854E1BB6A9C}"/>
            </c:ext>
          </c:extLst>
        </c:ser>
        <c:ser>
          <c:idx val="7"/>
          <c:order val="7"/>
          <c:tx>
            <c:strRef>
              <c:f>'PS4.03_Ind03'!$B$20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'PS4.03_Ind03'!$D$20:$H$20</c:f>
              <c:numCache>
                <c:formatCode>0%</c:formatCode>
                <c:ptCount val="5"/>
                <c:pt idx="0">
                  <c:v>0.71099999999999997</c:v>
                </c:pt>
                <c:pt idx="1">
                  <c:v>0.80100000000000005</c:v>
                </c:pt>
                <c:pt idx="2">
                  <c:v>0.63400000000000001</c:v>
                </c:pt>
                <c:pt idx="3">
                  <c:v>0.6724</c:v>
                </c:pt>
                <c:pt idx="4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E6-4EE0-B646-1854E1BB6A9C}"/>
            </c:ext>
          </c:extLst>
        </c:ser>
        <c:ser>
          <c:idx val="8"/>
          <c:order val="8"/>
          <c:tx>
            <c:strRef>
              <c:f>'PS4.03_Ind03'!$B$21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'PS4.03_Ind03'!$D$21:$H$21</c:f>
              <c:numCache>
                <c:formatCode>0%</c:formatCode>
                <c:ptCount val="5"/>
                <c:pt idx="0">
                  <c:v>0.81799999999999995</c:v>
                </c:pt>
                <c:pt idx="1">
                  <c:v>0.82799999999999996</c:v>
                </c:pt>
                <c:pt idx="2">
                  <c:v>0.752</c:v>
                </c:pt>
                <c:pt idx="3">
                  <c:v>0.7702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6-4EE0-B646-1854E1BB6A9C}"/>
            </c:ext>
          </c:extLst>
        </c:ser>
        <c:ser>
          <c:idx val="9"/>
          <c:order val="9"/>
          <c:tx>
            <c:strRef>
              <c:f>'PS4.03_Ind03'!$B$22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'PS4.03_Ind03'!$D$22:$H$22</c:f>
              <c:numCache>
                <c:formatCode>0%</c:formatCode>
                <c:ptCount val="5"/>
                <c:pt idx="0">
                  <c:v>0.55300000000000005</c:v>
                </c:pt>
                <c:pt idx="1">
                  <c:v>0.53</c:v>
                </c:pt>
                <c:pt idx="2">
                  <c:v>0.51800000000000002</c:v>
                </c:pt>
                <c:pt idx="3">
                  <c:v>0.57789999999999997</c:v>
                </c:pt>
                <c:pt idx="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E6-4EE0-B646-1854E1BB6A9C}"/>
            </c:ext>
          </c:extLst>
        </c:ser>
        <c:ser>
          <c:idx val="10"/>
          <c:order val="10"/>
          <c:tx>
            <c:strRef>
              <c:f>'PS4.03_Ind03'!$B$23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'PS4.03_Ind03'!$D$23:$H$23</c:f>
              <c:numCache>
                <c:formatCode>0%</c:formatCode>
                <c:ptCount val="5"/>
                <c:pt idx="0">
                  <c:v>0.70399999999999996</c:v>
                </c:pt>
                <c:pt idx="1">
                  <c:v>0.74299999999999999</c:v>
                </c:pt>
                <c:pt idx="2">
                  <c:v>0.59399999999999997</c:v>
                </c:pt>
                <c:pt idx="3">
                  <c:v>0.51829999999999998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E6-4EE0-B646-1854E1BB6A9C}"/>
            </c:ext>
          </c:extLst>
        </c:ser>
        <c:ser>
          <c:idx val="11"/>
          <c:order val="11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E6-4EE0-B646-1854E1BB6A9C}"/>
            </c:ext>
          </c:extLst>
        </c:ser>
        <c:ser>
          <c:idx val="12"/>
          <c:order val="12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E6-4EE0-B646-1854E1BB6A9C}"/>
            </c:ext>
          </c:extLst>
        </c:ser>
        <c:ser>
          <c:idx val="13"/>
          <c:order val="13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E6-4EE0-B646-1854E1BB6A9C}"/>
            </c:ext>
          </c:extLst>
        </c:ser>
        <c:ser>
          <c:idx val="14"/>
          <c:order val="14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E6-4EE0-B646-1854E1BB6A9C}"/>
            </c:ext>
          </c:extLst>
        </c:ser>
        <c:ser>
          <c:idx val="15"/>
          <c:order val="15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E6-4EE0-B646-1854E1BB6A9C}"/>
            </c:ext>
          </c:extLst>
        </c:ser>
        <c:ser>
          <c:idx val="16"/>
          <c:order val="16"/>
          <c:tx>
            <c:strRef>
              <c:f>'PS4.03_Ind03'!#REF!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'PS4.03_Ind03'!$D$12:$H$12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'PS4.03_Ind03'!#REF!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E6-4EE0-B646-1854E1BB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7754480"/>
        <c:axId val="1765698976"/>
      </c:barChart>
      <c:lineChart>
        <c:grouping val="standard"/>
        <c:varyColors val="0"/>
        <c:ser>
          <c:idx val="17"/>
          <c:order val="17"/>
          <c:tx>
            <c:strRef>
              <c:f>'PS4.03_Ind03'!$B$26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'PS4.03_Ind03'!$D$12:$G$12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'PS4.03_Ind03'!$D$26:$H$26</c:f>
              <c:numCache>
                <c:formatCode>0.00%</c:formatCode>
                <c:ptCount val="5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3E6-4EE0-B646-1854E1BB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754480"/>
        <c:axId val="1765698976"/>
      </c:lineChart>
      <c:catAx>
        <c:axId val="13777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65698976"/>
        <c:crosses val="autoZero"/>
        <c:auto val="1"/>
        <c:lblAlgn val="ctr"/>
        <c:lblOffset val="100"/>
        <c:noMultiLvlLbl val="0"/>
      </c:catAx>
      <c:valAx>
        <c:axId val="17656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7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000" b="1">
                <a:effectLst/>
              </a:rPr>
              <a:t>PS4.03_Ind04. </a:t>
            </a:r>
            <a:r>
              <a:rPr lang="ca-ES" sz="1000" b="1">
                <a:effectLst/>
              </a:rPr>
              <a:t>Valoració mitjana per titulació a l’afirmació “Estic satisfet/a amb el professorat”, de l’enquesta de satisfacció dels titulats i titulades</a:t>
            </a:r>
            <a:endParaRPr lang="ca-E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'PS4.03_Ind04'!$B$36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'PS4.03_Ind04'!$C$36:$E$36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950-4A87-946E-73EE68DFD6FB}"/>
            </c:ext>
          </c:extLst>
        </c:ser>
        <c:ser>
          <c:idx val="1"/>
          <c:order val="1"/>
          <c:tx>
            <c:strRef>
              <c:f>'PS4.03_Ind04'!$B$13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'PS4.03_Ind04'!$D$13:$H$13</c:f>
              <c:numCache>
                <c:formatCode>General</c:formatCode>
                <c:ptCount val="5"/>
                <c:pt idx="0">
                  <c:v>3.25</c:v>
                </c:pt>
                <c:pt idx="1">
                  <c:v>3.63</c:v>
                </c:pt>
                <c:pt idx="2">
                  <c:v>3.6</c:v>
                </c:pt>
                <c:pt idx="3">
                  <c:v>3.6</c:v>
                </c:pt>
                <c:pt idx="4">
                  <c:v>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0-4A87-946E-73EE68DFD6FB}"/>
            </c:ext>
          </c:extLst>
        </c:ser>
        <c:ser>
          <c:idx val="2"/>
          <c:order val="2"/>
          <c:tx>
            <c:strRef>
              <c:f>'PS4.03_Ind04'!$B$14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0-4A87-946E-73EE68DFD6FB}"/>
            </c:ext>
          </c:extLst>
        </c:ser>
        <c:ser>
          <c:idx val="3"/>
          <c:order val="3"/>
          <c:tx>
            <c:strRef>
              <c:f>'PS4.03_Ind04'!$B$15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'PS4.03_Ind04'!$D$15:$H$15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3.4</c:v>
                </c:pt>
                <c:pt idx="3">
                  <c:v>4</c:v>
                </c:pt>
                <c:pt idx="4">
                  <c:v>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50-4A87-946E-73EE68DFD6FB}"/>
            </c:ext>
          </c:extLst>
        </c:ser>
        <c:ser>
          <c:idx val="4"/>
          <c:order val="4"/>
          <c:tx>
            <c:strRef>
              <c:f>'PS4.03_Ind04'!$B$16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'PS4.03_Ind04'!$D$16:$H$16</c:f>
              <c:numCache>
                <c:formatCode>General</c:formatCode>
                <c:ptCount val="5"/>
                <c:pt idx="0">
                  <c:v>2.44</c:v>
                </c:pt>
                <c:pt idx="1">
                  <c:v>4.2</c:v>
                </c:pt>
                <c:pt idx="2">
                  <c:v>3.83</c:v>
                </c:pt>
                <c:pt idx="3">
                  <c:v>2.5</c:v>
                </c:pt>
                <c:pt idx="4">
                  <c:v>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50-4A87-946E-73EE68DFD6FB}"/>
            </c:ext>
          </c:extLst>
        </c:ser>
        <c:ser>
          <c:idx val="5"/>
          <c:order val="5"/>
          <c:tx>
            <c:strRef>
              <c:f>'PS4.03_Ind04'!$B$17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'PS4.03_Ind04'!$D$17:$H$17</c:f>
              <c:numCache>
                <c:formatCode>General</c:formatCode>
                <c:ptCount val="5"/>
                <c:pt idx="0">
                  <c:v>3</c:v>
                </c:pt>
                <c:pt idx="1">
                  <c:v>2.95</c:v>
                </c:pt>
                <c:pt idx="2">
                  <c:v>3.15</c:v>
                </c:pt>
                <c:pt idx="3">
                  <c:v>2.67</c:v>
                </c:pt>
                <c:pt idx="4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50-4A87-946E-73EE68DFD6FB}"/>
            </c:ext>
          </c:extLst>
        </c:ser>
        <c:ser>
          <c:idx val="6"/>
          <c:order val="6"/>
          <c:tx>
            <c:strRef>
              <c:f>'PS4.03_Ind04'!$B$18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'PS4.03_Ind04'!$D$18:$H$18</c:f>
              <c:numCache>
                <c:formatCode>General</c:formatCode>
                <c:ptCount val="5"/>
                <c:pt idx="0">
                  <c:v>3.13</c:v>
                </c:pt>
                <c:pt idx="1">
                  <c:v>3.25</c:v>
                </c:pt>
                <c:pt idx="2">
                  <c:v>0</c:v>
                </c:pt>
                <c:pt idx="3">
                  <c:v>3</c:v>
                </c:pt>
                <c:pt idx="4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50-4A87-946E-73EE68DFD6FB}"/>
            </c:ext>
          </c:extLst>
        </c:ser>
        <c:ser>
          <c:idx val="7"/>
          <c:order val="7"/>
          <c:tx>
            <c:strRef>
              <c:f>'PS4.03_Ind04'!$B$19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'PS4.03_Ind04'!$D$19:$H$19</c:f>
              <c:numCache>
                <c:formatCode>General</c:formatCode>
                <c:ptCount val="5"/>
                <c:pt idx="0">
                  <c:v>3.2</c:v>
                </c:pt>
                <c:pt idx="1">
                  <c:v>3.71</c:v>
                </c:pt>
                <c:pt idx="2">
                  <c:v>0</c:v>
                </c:pt>
                <c:pt idx="3">
                  <c:v>3.5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50-4A87-946E-73EE68DFD6FB}"/>
            </c:ext>
          </c:extLst>
        </c:ser>
        <c:ser>
          <c:idx val="8"/>
          <c:order val="8"/>
          <c:tx>
            <c:strRef>
              <c:f>'PS4.03_Ind04'!$B$20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'PS4.03_Ind04'!$D$20:$H$20</c:f>
              <c:numCache>
                <c:formatCode>General</c:formatCode>
                <c:ptCount val="5"/>
                <c:pt idx="0">
                  <c:v>3.8</c:v>
                </c:pt>
                <c:pt idx="1">
                  <c:v>3.33</c:v>
                </c:pt>
                <c:pt idx="2">
                  <c:v>0</c:v>
                </c:pt>
                <c:pt idx="3">
                  <c:v>0</c:v>
                </c:pt>
                <c:pt idx="4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50-4A87-946E-73EE68DFD6FB}"/>
            </c:ext>
          </c:extLst>
        </c:ser>
        <c:ser>
          <c:idx val="9"/>
          <c:order val="9"/>
          <c:tx>
            <c:strRef>
              <c:f>'PS4.03_Ind04'!$B$21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'PS4.03_Ind04'!$D$21:$H$21</c:f>
              <c:numCache>
                <c:formatCode>General</c:formatCode>
                <c:ptCount val="5"/>
                <c:pt idx="0">
                  <c:v>3.64</c:v>
                </c:pt>
                <c:pt idx="1">
                  <c:v>4.07</c:v>
                </c:pt>
                <c:pt idx="2">
                  <c:v>3.55</c:v>
                </c:pt>
                <c:pt idx="3">
                  <c:v>3.2</c:v>
                </c:pt>
                <c:pt idx="4">
                  <c:v>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50-4A87-946E-73EE68DFD6FB}"/>
            </c:ext>
          </c:extLst>
        </c:ser>
        <c:ser>
          <c:idx val="10"/>
          <c:order val="10"/>
          <c:tx>
            <c:strRef>
              <c:f>'PS4.03_Ind04'!$B$22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'PS4.03_Ind04'!$D$22:$H$22</c:f>
              <c:numCache>
                <c:formatCode>General</c:formatCode>
                <c:ptCount val="5"/>
                <c:pt idx="0">
                  <c:v>3.4</c:v>
                </c:pt>
                <c:pt idx="1">
                  <c:v>3.33</c:v>
                </c:pt>
                <c:pt idx="2">
                  <c:v>3.4</c:v>
                </c:pt>
                <c:pt idx="3">
                  <c:v>3</c:v>
                </c:pt>
                <c:pt idx="4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0-4A87-946E-73EE68DFD6FB}"/>
            </c:ext>
          </c:extLst>
        </c:ser>
        <c:ser>
          <c:idx val="11"/>
          <c:order val="11"/>
          <c:tx>
            <c:strRef>
              <c:f>'PS4.03_Ind04'!$B$23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'PS4.03_Ind04'!$D$23:$H$23</c:f>
              <c:numCache>
                <c:formatCode>General</c:formatCode>
                <c:ptCount val="5"/>
                <c:pt idx="0">
                  <c:v>0</c:v>
                </c:pt>
                <c:pt idx="1">
                  <c:v>3.15</c:v>
                </c:pt>
                <c:pt idx="2">
                  <c:v>3.17</c:v>
                </c:pt>
                <c:pt idx="3">
                  <c:v>4</c:v>
                </c:pt>
                <c:pt idx="4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50-4A87-946E-73EE68DFD6FB}"/>
            </c:ext>
          </c:extLst>
        </c:ser>
        <c:ser>
          <c:idx val="12"/>
          <c:order val="12"/>
          <c:tx>
            <c:strRef>
              <c:f>'PS4.03_Ind04'!$B$24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'PS4.03_Ind04'!$D$24:$H$24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3.83</c:v>
                </c:pt>
                <c:pt idx="3">
                  <c:v>0</c:v>
                </c:pt>
                <c:pt idx="4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50-4A87-946E-73EE68DFD6FB}"/>
            </c:ext>
          </c:extLst>
        </c:ser>
        <c:ser>
          <c:idx val="13"/>
          <c:order val="13"/>
          <c:tx>
            <c:strRef>
              <c:f>'PS4.03_Ind04'!$B$25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'PS4.03_Ind04'!$D$25:$H$25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50-4A87-946E-73EE68DFD6FB}"/>
            </c:ext>
          </c:extLst>
        </c:ser>
        <c:ser>
          <c:idx val="14"/>
          <c:order val="14"/>
          <c:tx>
            <c:strRef>
              <c:f>'PS4.03_Ind04'!$B$26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'PS4.03_Ind04'!$D$26:$H$26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4.22</c:v>
                </c:pt>
                <c:pt idx="3">
                  <c:v>0</c:v>
                </c:pt>
                <c:pt idx="4">
                  <c:v>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50-4A87-946E-73EE68DFD6FB}"/>
            </c:ext>
          </c:extLst>
        </c:ser>
        <c:ser>
          <c:idx val="15"/>
          <c:order val="15"/>
          <c:tx>
            <c:strRef>
              <c:f>'PS4.03_Ind04'!$B$27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'PS4.03_Ind04'!$D$27:$H$27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50-4A87-946E-73EE68DFD6FB}"/>
            </c:ext>
          </c:extLst>
        </c:ser>
        <c:ser>
          <c:idx val="16"/>
          <c:order val="16"/>
          <c:tx>
            <c:strRef>
              <c:f>'PS4.03_Ind04'!$B$28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'PS4.03_Ind04'!$D$28:$H$28</c:f>
              <c:numCache>
                <c:formatCode>General</c:formatCode>
                <c:ptCount val="5"/>
                <c:pt idx="0">
                  <c:v>3</c:v>
                </c:pt>
                <c:pt idx="1">
                  <c:v>3.67</c:v>
                </c:pt>
                <c:pt idx="2">
                  <c:v>0</c:v>
                </c:pt>
                <c:pt idx="3">
                  <c:v>3</c:v>
                </c:pt>
                <c:pt idx="4">
                  <c:v>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50-4A87-946E-73EE68DFD6FB}"/>
            </c:ext>
          </c:extLst>
        </c:ser>
        <c:ser>
          <c:idx val="17"/>
          <c:order val="17"/>
          <c:tx>
            <c:strRef>
              <c:f>'PS4.03_Ind04'!$B$29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'PS4.03_Ind04'!$D$29:$H$29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950-4A87-946E-73EE68DFD6FB}"/>
            </c:ext>
          </c:extLst>
        </c:ser>
        <c:ser>
          <c:idx val="18"/>
          <c:order val="18"/>
          <c:tx>
            <c:strRef>
              <c:f>'PS4.03_Ind04'!$B$30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'PS4.03_Ind04'!$D$12:$I$12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'PS4.03_Ind04'!$D$30:$H$30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2.67</c:v>
                </c:pt>
                <c:pt idx="4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50-4A87-946E-73EE68DF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7570320"/>
        <c:axId val="884893568"/>
      </c:barChart>
      <c:lineChart>
        <c:grouping val="standard"/>
        <c:varyColors val="0"/>
        <c:ser>
          <c:idx val="19"/>
          <c:order val="19"/>
          <c:tx>
            <c:strRef>
              <c:f>'PS4.03_Ind04'!$B$33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'PS4.03_Ind04'!$D$12:$H$12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'PS4.03_Ind04'!$D$33:$H$33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950-4A87-946E-73EE68DF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570320"/>
        <c:axId val="884893568"/>
      </c:lineChart>
      <c:catAx>
        <c:axId val="12775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84893568"/>
        <c:crosses val="autoZero"/>
        <c:auto val="1"/>
        <c:lblAlgn val="ctr"/>
        <c:lblOffset val="100"/>
        <c:noMultiLvlLbl val="0"/>
      </c:catAx>
      <c:valAx>
        <c:axId val="8848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757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974758372419046E-2"/>
          <c:y val="0.61045598533306011"/>
          <c:w val="0.95507551014501768"/>
          <c:h val="0.37035936721882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Percentatge d’hores de docència impartides pel PDI permanent.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'PS4.03_Ind05'!$B$13</c:f>
              <c:strCache>
                <c:ptCount val="1"/>
                <c:pt idx="0">
                  <c:v>Número d'accions polítiques que s'han fet amb les coordinacions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'PS4.03_Ind05'!$H$12</c:f>
              <c:strCache>
                <c:ptCount val="1"/>
                <c:pt idx="0">
                  <c:v>2022/2023</c:v>
                </c:pt>
              </c:strCache>
            </c:strRef>
          </c:cat>
          <c:val>
            <c:numRef>
              <c:f>'PS4.03_Ind05'!$H$13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4709-B4B6-2C5A8930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7754480"/>
        <c:axId val="1765698976"/>
        <c:extLst/>
      </c:barChart>
      <c:lineChart>
        <c:grouping val="standard"/>
        <c:varyColors val="0"/>
        <c:ser>
          <c:idx val="17"/>
          <c:order val="1"/>
          <c:tx>
            <c:strRef>
              <c:f>'PS4.03_Ind05'!$B$14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'PS4.03_Ind05'!$D$12:$G$12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'PS4.03_Ind05'!$D$14:$H$14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69D-4709-B4B6-2C5A8930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754480"/>
        <c:axId val="1765698976"/>
      </c:lineChart>
      <c:catAx>
        <c:axId val="13777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65698976"/>
        <c:crosses val="autoZero"/>
        <c:auto val="1"/>
        <c:lblAlgn val="ctr"/>
        <c:lblOffset val="100"/>
        <c:noMultiLvlLbl val="0"/>
      </c:catAx>
      <c:valAx>
        <c:axId val="17656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7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Percentatge d’hores de docència impartides pel PDI permanent.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'PS4.03_Ind06'!$B$13</c:f>
              <c:strCache>
                <c:ptCount val="1"/>
                <c:pt idx="0">
                  <c:v>Número de reunions fetes entre el Deganat i totes les direccions de Departament de la Facultat 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'PS4.03_Ind06'!$H$12</c:f>
              <c:strCache>
                <c:ptCount val="1"/>
                <c:pt idx="0">
                  <c:v>2022/2023</c:v>
                </c:pt>
              </c:strCache>
            </c:strRef>
          </c:cat>
          <c:val>
            <c:numRef>
              <c:f>'PS4.03_Ind06'!$H$13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E-4C3F-B4D3-B62766181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7754480"/>
        <c:axId val="1765698976"/>
        <c:extLst/>
      </c:barChart>
      <c:lineChart>
        <c:grouping val="standard"/>
        <c:varyColors val="0"/>
        <c:ser>
          <c:idx val="17"/>
          <c:order val="1"/>
          <c:tx>
            <c:strRef>
              <c:f>'PS4.03_Ind06'!$B$14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'PS4.03_Ind06'!$D$12:$G$12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'PS4.03_Ind06'!$D$14:$G$14</c:f>
              <c:numCache>
                <c:formatCode>0.00</c:formatCode>
                <c:ptCount val="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E-4C3F-B4D3-B62766181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754480"/>
        <c:axId val="1765698976"/>
      </c:lineChart>
      <c:catAx>
        <c:axId val="13777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65698976"/>
        <c:crosses val="autoZero"/>
        <c:auto val="1"/>
        <c:lblAlgn val="ctr"/>
        <c:lblOffset val="100"/>
        <c:noMultiLvlLbl val="0"/>
      </c:catAx>
      <c:valAx>
        <c:axId val="17656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7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100" b="1">
                <a:effectLst/>
              </a:rPr>
              <a:t>Import de la Despesa econòmica de la Facultat destinada a l’adquisició, renovació d’equipament dels laboratoris i altres necessitats docents</a:t>
            </a:r>
            <a:r>
              <a:rPr lang="ca-ES" sz="1800" b="1">
                <a:effectLst/>
              </a:rPr>
              <a:t>. 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'PS4.04_Ind01'!$B$14</c:f>
              <c:strCache>
                <c:ptCount val="1"/>
                <c:pt idx="0">
                  <c:v>Percentatge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'PS4.04_Ind01'!$C$11:$G$11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'PS4.04_Ind01'!$C$14:$G$14</c:f>
              <c:numCache>
                <c:formatCode>0%</c:formatCode>
                <c:ptCount val="5"/>
                <c:pt idx="0">
                  <c:v>0.18</c:v>
                </c:pt>
                <c:pt idx="1">
                  <c:v>0.37</c:v>
                </c:pt>
                <c:pt idx="2" formatCode="0.00%">
                  <c:v>0.19500000000000001</c:v>
                </c:pt>
                <c:pt idx="3">
                  <c:v>0.19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537-B48F-ED127345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0394896"/>
        <c:axId val="884893088"/>
      </c:barChart>
      <c:lineChart>
        <c:grouping val="standard"/>
        <c:varyColors val="0"/>
        <c:ser>
          <c:idx val="1"/>
          <c:order val="1"/>
          <c:tx>
            <c:strRef>
              <c:f>'PS4.04_Ind01'!$B$15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'PS4.04_Ind01'!$C$11:$F$11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'PS4.04_Ind01'!$C$15:$G$15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F-4537-B48F-ED127345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94896"/>
        <c:axId val="884893088"/>
      </c:lineChart>
      <c:catAx>
        <c:axId val="167039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84893088"/>
        <c:crosses val="autoZero"/>
        <c:auto val="1"/>
        <c:lblAlgn val="ctr"/>
        <c:lblOffset val="100"/>
        <c:noMultiLvlLbl val="0"/>
      </c:catAx>
      <c:valAx>
        <c:axId val="8848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7039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100" b="1">
                <a:effectLst/>
              </a:rPr>
              <a:t>Import de la Despesa econòmica de la Facultat destinada a l’adquisició, renovació d’equipament dels laboratoris i altres necessitats docents</a:t>
            </a:r>
            <a:r>
              <a:rPr lang="ca-ES" sz="1800" b="1">
                <a:effectLst/>
              </a:rPr>
              <a:t>. 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'PS4.04_Ind02'!$B$12</c:f>
              <c:strCache>
                <c:ptCount val="1"/>
                <c:pt idx="0">
                  <c:v>Despesa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'PS4.04_Ind02'!$C$11:$G$11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'PS4.04_Ind02'!$C$13:$G$13</c:f>
              <c:numCache>
                <c:formatCode>0.00%</c:formatCode>
                <c:ptCount val="5"/>
                <c:pt idx="0" formatCode="0%">
                  <c:v>1</c:v>
                </c:pt>
                <c:pt idx="1">
                  <c:v>0.95550000000000002</c:v>
                </c:pt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B-416A-929A-C5761156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94896"/>
        <c:axId val="884893088"/>
      </c:barChart>
      <c:lineChart>
        <c:grouping val="standard"/>
        <c:varyColors val="0"/>
        <c:ser>
          <c:idx val="3"/>
          <c:order val="1"/>
          <c:tx>
            <c:strRef>
              <c:f>'PS4.04_Ind02'!$B$14</c:f>
              <c:strCache>
                <c:ptCount val="1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'PS4.04_Ind02'!$C$14:$G$14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B-416A-929A-C5761156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394896"/>
        <c:axId val="884893088"/>
      </c:lineChart>
      <c:catAx>
        <c:axId val="167039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84893088"/>
        <c:crosses val="autoZero"/>
        <c:auto val="1"/>
        <c:lblAlgn val="ctr"/>
        <c:lblOffset val="100"/>
        <c:noMultiLvlLbl val="0"/>
      </c:catAx>
      <c:valAx>
        <c:axId val="8848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7039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/>
              <a:t>Valoració mitjana de la pregunta “Les instal·lacions (aules i espais docents) han estat adequades per afavorir el meu aprenentatge</a:t>
            </a:r>
            <a:r>
              <a:rPr lang="ca-ES"/>
              <a:t>”</a:t>
            </a:r>
          </a:p>
          <a:p>
            <a:pPr>
              <a:defRPr/>
            </a:pPr>
            <a:r>
              <a:rPr lang="ca-ES"/>
              <a:t>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'PS4.04_Ind03.'!$B$12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'PS4.04_Ind03.'!$D$12:$H$12</c:f>
              <c:numCache>
                <c:formatCode>General</c:formatCode>
                <c:ptCount val="5"/>
                <c:pt idx="0">
                  <c:v>3.82</c:v>
                </c:pt>
                <c:pt idx="1">
                  <c:v>0</c:v>
                </c:pt>
                <c:pt idx="2">
                  <c:v>4.38</c:v>
                </c:pt>
                <c:pt idx="3">
                  <c:v>3.8</c:v>
                </c:pt>
                <c:pt idx="4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F-4C14-AC3C-709285C8F4E9}"/>
            </c:ext>
          </c:extLst>
        </c:ser>
        <c:ser>
          <c:idx val="2"/>
          <c:order val="2"/>
          <c:tx>
            <c:strRef>
              <c:f>'PS4.04_Ind03.'!$B$13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'PS4.04_Ind03.'!$D$13:$H$13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2.8</c:v>
                </c:pt>
                <c:pt idx="3">
                  <c:v>2</c:v>
                </c:pt>
                <c:pt idx="4">
                  <c:v>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F-4C14-AC3C-709285C8F4E9}"/>
            </c:ext>
          </c:extLst>
        </c:ser>
        <c:ser>
          <c:idx val="3"/>
          <c:order val="3"/>
          <c:tx>
            <c:strRef>
              <c:f>'PS4.04_Ind03.'!$B$14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'PS4.04_Ind03.'!$D$14:$H$14</c:f>
              <c:numCache>
                <c:formatCode>General</c:formatCode>
                <c:ptCount val="5"/>
                <c:pt idx="0">
                  <c:v>0</c:v>
                </c:pt>
                <c:pt idx="1">
                  <c:v>3.2</c:v>
                </c:pt>
                <c:pt idx="2">
                  <c:v>4.67</c:v>
                </c:pt>
                <c:pt idx="3">
                  <c:v>2.5</c:v>
                </c:pt>
                <c:pt idx="4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F-4C14-AC3C-709285C8F4E9}"/>
            </c:ext>
          </c:extLst>
        </c:ser>
        <c:ser>
          <c:idx val="4"/>
          <c:order val="4"/>
          <c:tx>
            <c:strRef>
              <c:f>'PS4.04_Ind03.'!$B$15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'PS4.04_Ind03.'!$D$15:$H$15</c:f>
              <c:numCache>
                <c:formatCode>General</c:formatCode>
                <c:ptCount val="5"/>
                <c:pt idx="0">
                  <c:v>3.44</c:v>
                </c:pt>
                <c:pt idx="1">
                  <c:v>3</c:v>
                </c:pt>
                <c:pt idx="2">
                  <c:v>3.77</c:v>
                </c:pt>
                <c:pt idx="3">
                  <c:v>3.5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F-4C14-AC3C-709285C8F4E9}"/>
            </c:ext>
          </c:extLst>
        </c:ser>
        <c:ser>
          <c:idx val="5"/>
          <c:order val="5"/>
          <c:tx>
            <c:strRef>
              <c:f>'PS4.04_Ind03.'!$B$16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'PS4.04_Ind03.'!$D$16:$H$16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F-4C14-AC3C-709285C8F4E9}"/>
            </c:ext>
          </c:extLst>
        </c:ser>
        <c:ser>
          <c:idx val="6"/>
          <c:order val="6"/>
          <c:tx>
            <c:strRef>
              <c:f>'PS4.04_Ind03.'!$B$17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'PS4.04_Ind03.'!$D$17:$H$17</c:f>
              <c:numCache>
                <c:formatCode>General</c:formatCode>
                <c:ptCount val="5"/>
                <c:pt idx="0">
                  <c:v>3.25</c:v>
                </c:pt>
                <c:pt idx="1">
                  <c:v>3.57</c:v>
                </c:pt>
                <c:pt idx="2">
                  <c:v>0</c:v>
                </c:pt>
                <c:pt idx="3">
                  <c:v>3.75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F-4C14-AC3C-709285C8F4E9}"/>
            </c:ext>
          </c:extLst>
        </c:ser>
        <c:ser>
          <c:idx val="7"/>
          <c:order val="7"/>
          <c:tx>
            <c:strRef>
              <c:f>'PS4.04_Ind03.'!$B$18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'PS4.04_Ind03.'!$D$18:$H$18</c:f>
              <c:numCache>
                <c:formatCode>General</c:formatCode>
                <c:ptCount val="5"/>
                <c:pt idx="0">
                  <c:v>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1F-4C14-AC3C-709285C8F4E9}"/>
            </c:ext>
          </c:extLst>
        </c:ser>
        <c:ser>
          <c:idx val="8"/>
          <c:order val="8"/>
          <c:tx>
            <c:strRef>
              <c:f>'PS4.04_Ind03.'!$B$19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1F-4C14-AC3C-709285C8F4E9}"/>
            </c:ext>
          </c:extLst>
        </c:ser>
        <c:ser>
          <c:idx val="9"/>
          <c:order val="9"/>
          <c:tx>
            <c:strRef>
              <c:f>'PS4.04_Ind03.'!$B$20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'PS4.04_Ind03.'!$D$20:$H$20</c:f>
              <c:numCache>
                <c:formatCode>General</c:formatCode>
                <c:ptCount val="5"/>
                <c:pt idx="0">
                  <c:v>3.4</c:v>
                </c:pt>
                <c:pt idx="1">
                  <c:v>3.79</c:v>
                </c:pt>
                <c:pt idx="2">
                  <c:v>3.27</c:v>
                </c:pt>
                <c:pt idx="3">
                  <c:v>2.4</c:v>
                </c:pt>
                <c:pt idx="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1F-4C14-AC3C-709285C8F4E9}"/>
            </c:ext>
          </c:extLst>
        </c:ser>
        <c:ser>
          <c:idx val="10"/>
          <c:order val="10"/>
          <c:tx>
            <c:strRef>
              <c:f>'PS4.04_Ind03.'!$B$22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'PS4.04_Ind03.'!$D$22:$H$22</c:f>
              <c:numCache>
                <c:formatCode>General</c:formatCode>
                <c:ptCount val="5"/>
                <c:pt idx="0">
                  <c:v>3.48</c:v>
                </c:pt>
                <c:pt idx="1">
                  <c:v>3.37</c:v>
                </c:pt>
                <c:pt idx="2">
                  <c:v>3.58</c:v>
                </c:pt>
                <c:pt idx="3">
                  <c:v>4.25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1F-4C14-AC3C-709285C8F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1572016"/>
        <c:axId val="1667754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'PS4.04_Ind03.'!$D$11:$H$11</c15:sqref>
                        </c15:formulaRef>
                      </c:ext>
                    </c:extLst>
                    <c:strCache>
                      <c:ptCount val="5"/>
                      <c:pt idx="0">
                        <c:v>2017/2018</c:v>
                      </c:pt>
                      <c:pt idx="1">
                        <c:v>2018/2019</c:v>
                      </c:pt>
                      <c:pt idx="2">
                        <c:v>2019/2020</c:v>
                      </c:pt>
                      <c:pt idx="3">
                        <c:v>2020/2021</c:v>
                      </c:pt>
                      <c:pt idx="4">
                        <c:v>2021/2022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'PS4.04_Ind03.'!$G$26:$H$26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0.66666666666666663</c:v>
                      </c:pt>
                      <c:pt idx="1">
                        <c:v>0.81818181818181823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C1F-4C14-AC3C-709285C8F4E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1"/>
          <c:order val="11"/>
          <c:tx>
            <c:strRef>
              <c:f>'PS4.04_Ind03.'!$B$25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'PS4.04_Ind03.'!$D$11:$H$11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'PS4.04_Ind03.'!$D$25:$H$25</c:f>
              <c:numCache>
                <c:formatCode>0.00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1F-4C14-AC3C-709285C8F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572016"/>
        <c:axId val="1667754976"/>
      </c:lineChart>
      <c:catAx>
        <c:axId val="127157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67754976"/>
        <c:crosses val="autoZero"/>
        <c:auto val="1"/>
        <c:lblAlgn val="ctr"/>
        <c:lblOffset val="100"/>
        <c:noMultiLvlLbl val="0"/>
      </c:catAx>
      <c:valAx>
        <c:axId val="16677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157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/>
              <a:t>PE1.02_Ind02</a:t>
            </a:r>
            <a:r>
              <a:rPr lang="ca-ES" sz="1200" baseline="0"/>
              <a:t> Nombre d'informes de qualitat presentats a la Junta Permanent i i/o Junta de Facultat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'PE1.02_Ind02'!$B$12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'PE1.02_Ind02'!$C$12:$G$12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'PE1.02_Ind02'!$C$12:$F$12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47E-AC3D-F3D9987F2B3D}"/>
            </c:ext>
          </c:extLst>
        </c:ser>
        <c:ser>
          <c:idx val="1"/>
          <c:order val="1"/>
          <c:tx>
            <c:strRef>
              <c:f>'PE1.02_Ind02'!$A$13:$B$13</c:f>
              <c:strCache>
                <c:ptCount val="2"/>
                <c:pt idx="0">
                  <c:v>Valor real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'PE1.02_Ind02'!$C$12:$G$12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'PE1.02_Ind02'!$C$13:$G$13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A-447E-AC3D-F3D9987F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4617023"/>
        <c:axId val="646314943"/>
      </c:barChart>
      <c:lineChart>
        <c:grouping val="standard"/>
        <c:varyColors val="0"/>
        <c:ser>
          <c:idx val="2"/>
          <c:order val="2"/>
          <c:tx>
            <c:strRef>
              <c:f>'PE1.02_Ind02'!$A$14:$B$14</c:f>
              <c:strCache>
                <c:ptCount val="2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'PE1.02_Ind02'!$C$12:$F$12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'PE1.02_Ind02'!$C$14:$G$14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A-447E-AC3D-F3D9987F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617023"/>
        <c:axId val="646314943"/>
      </c:lineChart>
      <c:catAx>
        <c:axId val="81461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6314943"/>
        <c:crosses val="autoZero"/>
        <c:auto val="1"/>
        <c:lblAlgn val="ctr"/>
        <c:lblOffset val="100"/>
        <c:noMultiLvlLbl val="0"/>
      </c:catAx>
      <c:valAx>
        <c:axId val="64631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617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PS4.05_Ind01. Els recursos facilitats pels serveis de biblioteca i de suport a la docència han respost a les meves necessitats (Enquesta sobre el grau de satisfacció dels egressats i de les egressades de la UAB)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'PS4.05_Ind01'!$B$28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'PS4.05_Ind01'!$C$28:$E$28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C67-473F-B6A4-D52B398BC12A}"/>
            </c:ext>
          </c:extLst>
        </c:ser>
        <c:ser>
          <c:idx val="1"/>
          <c:order val="1"/>
          <c:tx>
            <c:strRef>
              <c:f>'PS4.05_Ind01'!$C$11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'PS4.05_Ind01'!$D$11:$H$11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7-473F-B6A4-D52B398BC12A}"/>
            </c:ext>
          </c:extLst>
        </c:ser>
        <c:ser>
          <c:idx val="2"/>
          <c:order val="2"/>
          <c:tx>
            <c:strRef>
              <c:f>'PS4.05_Ind01'!$B$12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'PS4.05_Ind01'!$D$12:$H$12</c:f>
              <c:numCache>
                <c:formatCode>General</c:formatCode>
                <c:ptCount val="5"/>
                <c:pt idx="0">
                  <c:v>4.2699999999999996</c:v>
                </c:pt>
                <c:pt idx="1">
                  <c:v>0</c:v>
                </c:pt>
                <c:pt idx="2">
                  <c:v>4.25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7-473F-B6A4-D52B398BC12A}"/>
            </c:ext>
          </c:extLst>
        </c:ser>
        <c:ser>
          <c:idx val="3"/>
          <c:order val="3"/>
          <c:tx>
            <c:strRef>
              <c:f>'PS4.05_Ind01'!$B$13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'PS4.05_Ind01'!$D$13:$H$13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7-473F-B6A4-D52B398BC12A}"/>
            </c:ext>
          </c:extLst>
        </c:ser>
        <c:ser>
          <c:idx val="4"/>
          <c:order val="4"/>
          <c:tx>
            <c:strRef>
              <c:f>'PS4.05_Ind01'!$B$14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'PS4.05_Ind01'!$D$14:$H$14</c:f>
              <c:numCache>
                <c:formatCode>General</c:formatCode>
                <c:ptCount val="5"/>
                <c:pt idx="0">
                  <c:v>0</c:v>
                </c:pt>
                <c:pt idx="1">
                  <c:v>2.8</c:v>
                </c:pt>
                <c:pt idx="2">
                  <c:v>4.17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67-473F-B6A4-D52B398BC12A}"/>
            </c:ext>
          </c:extLst>
        </c:ser>
        <c:ser>
          <c:idx val="5"/>
          <c:order val="5"/>
          <c:tx>
            <c:strRef>
              <c:f>'PS4.05_Ind01'!$B$15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'PS4.05_Ind01'!$D$15:$H$15</c:f>
              <c:numCache>
                <c:formatCode>General</c:formatCode>
                <c:ptCount val="5"/>
                <c:pt idx="0">
                  <c:v>4.1100000000000003</c:v>
                </c:pt>
                <c:pt idx="1">
                  <c:v>3.81</c:v>
                </c:pt>
                <c:pt idx="2">
                  <c:v>4.38</c:v>
                </c:pt>
                <c:pt idx="3">
                  <c:v>3.5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67-473F-B6A4-D52B398BC12A}"/>
            </c:ext>
          </c:extLst>
        </c:ser>
        <c:ser>
          <c:idx val="6"/>
          <c:order val="6"/>
          <c:tx>
            <c:strRef>
              <c:f>'PS4.05_Ind01'!$B$16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'PS4.05_Ind01'!$D$16:$H$16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67-473F-B6A4-D52B398BC12A}"/>
            </c:ext>
          </c:extLst>
        </c:ser>
        <c:ser>
          <c:idx val="7"/>
          <c:order val="7"/>
          <c:tx>
            <c:strRef>
              <c:f>'PS4.05_Ind01'!$B$17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'PS4.05_Ind01'!$D$17:$H$17</c:f>
              <c:numCache>
                <c:formatCode>General</c:formatCode>
                <c:ptCount val="5"/>
                <c:pt idx="0">
                  <c:v>3.75</c:v>
                </c:pt>
                <c:pt idx="1">
                  <c:v>4.1399999999999997</c:v>
                </c:pt>
                <c:pt idx="2">
                  <c:v>0</c:v>
                </c:pt>
                <c:pt idx="3">
                  <c:v>3.75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67-473F-B6A4-D52B398BC12A}"/>
            </c:ext>
          </c:extLst>
        </c:ser>
        <c:ser>
          <c:idx val="8"/>
          <c:order val="8"/>
          <c:tx>
            <c:strRef>
              <c:f>'PS4.05_Ind01'!$B$18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'PS4.05_Ind01'!$D$18:$H$18</c:f>
              <c:numCache>
                <c:formatCode>General</c:formatCode>
                <c:ptCount val="5"/>
                <c:pt idx="0">
                  <c:v>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7-473F-B6A4-D52B398BC12A}"/>
            </c:ext>
          </c:extLst>
        </c:ser>
        <c:ser>
          <c:idx val="9"/>
          <c:order val="9"/>
          <c:tx>
            <c:strRef>
              <c:f>'PS4.05_Ind01'!$B$19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'PS4.05_Ind01'!$D$19:$H$19</c:f>
              <c:numCache>
                <c:formatCode>General</c:formatCode>
                <c:ptCount val="5"/>
                <c:pt idx="0">
                  <c:v>4.2</c:v>
                </c:pt>
                <c:pt idx="1">
                  <c:v>4.43</c:v>
                </c:pt>
                <c:pt idx="2">
                  <c:v>3.82</c:v>
                </c:pt>
                <c:pt idx="3">
                  <c:v>2.8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67-473F-B6A4-D52B398BC12A}"/>
            </c:ext>
          </c:extLst>
        </c:ser>
        <c:ser>
          <c:idx val="10"/>
          <c:order val="10"/>
          <c:tx>
            <c:strRef>
              <c:f>'PS4.05_Ind01'!$B$20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'PS4.05_Ind01'!$D$20:$H$20</c:f>
              <c:numCache>
                <c:formatCode>General</c:formatCode>
                <c:ptCount val="5"/>
                <c:pt idx="0">
                  <c:v>3.73</c:v>
                </c:pt>
                <c:pt idx="1">
                  <c:v>4.22</c:v>
                </c:pt>
                <c:pt idx="2">
                  <c:v>3.8</c:v>
                </c:pt>
                <c:pt idx="3">
                  <c:v>3.5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67-473F-B6A4-D52B398BC12A}"/>
            </c:ext>
          </c:extLst>
        </c:ser>
        <c:ser>
          <c:idx val="11"/>
          <c:order val="11"/>
          <c:tx>
            <c:strRef>
              <c:f>'PS4.05_Ind01'!$B$21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'PS4.05_Ind01'!$D$21:$H$21</c:f>
              <c:numCache>
                <c:formatCode>General</c:formatCode>
                <c:ptCount val="5"/>
                <c:pt idx="0">
                  <c:v>3.94</c:v>
                </c:pt>
                <c:pt idx="1">
                  <c:v>3.78</c:v>
                </c:pt>
                <c:pt idx="2">
                  <c:v>3.42</c:v>
                </c:pt>
                <c:pt idx="3">
                  <c:v>4.5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67-473F-B6A4-D52B398BC12A}"/>
            </c:ext>
          </c:extLst>
        </c:ser>
        <c:ser>
          <c:idx val="12"/>
          <c:order val="12"/>
          <c:tx>
            <c:strRef>
              <c:f>'PS4.05_Ind01'!$B$22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'PS4.05_Ind01'!$D$22:$H$22</c:f>
              <c:numCache>
                <c:formatCode>General</c:formatCode>
                <c:ptCount val="5"/>
                <c:pt idx="0">
                  <c:v>3.99</c:v>
                </c:pt>
                <c:pt idx="1">
                  <c:v>3.89</c:v>
                </c:pt>
                <c:pt idx="2">
                  <c:v>3.93</c:v>
                </c:pt>
                <c:pt idx="3">
                  <c:v>3.7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67-473F-B6A4-D52B398BC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63647072"/>
        <c:axId val="1818362512"/>
      </c:barChart>
      <c:lineChart>
        <c:grouping val="standard"/>
        <c:varyColors val="0"/>
        <c:ser>
          <c:idx val="13"/>
          <c:order val="13"/>
          <c:tx>
            <c:strRef>
              <c:f>'PS4.05_Ind01'!$B$25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'PS4.05_Ind01'!$D$25:$H$25</c:f>
              <c:numCache>
                <c:formatCode>0.00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C67-473F-B6A4-D52B398BC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647072"/>
        <c:axId val="1818362512"/>
      </c:lineChart>
      <c:catAx>
        <c:axId val="20636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18362512"/>
        <c:crosses val="autoZero"/>
        <c:auto val="1"/>
        <c:lblAlgn val="ctr"/>
        <c:lblOffset val="100"/>
        <c:noMultiLvlLbl val="0"/>
      </c:catAx>
      <c:valAx>
        <c:axId val="18183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36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'PS4.05_Ind02'!$B$28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'PS4.05_Ind02'!$C$28:$E$28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1DF-49B0-97A2-43D660C10332}"/>
            </c:ext>
          </c:extLst>
        </c:ser>
        <c:ser>
          <c:idx val="1"/>
          <c:order val="1"/>
          <c:tx>
            <c:strRef>
              <c:f>'PS4.05_Ind02'!$B$12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'PS4.05_Ind02'!$D$12:$H$12</c:f>
              <c:numCache>
                <c:formatCode>General</c:formatCode>
                <c:ptCount val="5"/>
                <c:pt idx="0">
                  <c:v>4.09</c:v>
                </c:pt>
                <c:pt idx="1">
                  <c:v>0</c:v>
                </c:pt>
                <c:pt idx="2">
                  <c:v>4.13</c:v>
                </c:pt>
                <c:pt idx="3">
                  <c:v>3.8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F-49B0-97A2-43D660C10332}"/>
            </c:ext>
          </c:extLst>
        </c:ser>
        <c:ser>
          <c:idx val="2"/>
          <c:order val="2"/>
          <c:tx>
            <c:strRef>
              <c:f>'PS4.05_Ind02'!$B$13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'PS4.05_Ind02'!$D$13:$H$13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F-49B0-97A2-43D660C10332}"/>
            </c:ext>
          </c:extLst>
        </c:ser>
        <c:ser>
          <c:idx val="3"/>
          <c:order val="3"/>
          <c:tx>
            <c:strRef>
              <c:f>'PS4.05_Ind02'!$B$14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'PS4.05_Ind02'!$D$14:$H$14</c:f>
              <c:numCache>
                <c:formatCode>General</c:formatCode>
                <c:ptCount val="5"/>
                <c:pt idx="0">
                  <c:v>0</c:v>
                </c:pt>
                <c:pt idx="1">
                  <c:v>4.4000000000000004</c:v>
                </c:pt>
                <c:pt idx="2">
                  <c:v>4.5</c:v>
                </c:pt>
                <c:pt idx="3">
                  <c:v>4</c:v>
                </c:pt>
                <c:pt idx="4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F-49B0-97A2-43D660C10332}"/>
            </c:ext>
          </c:extLst>
        </c:ser>
        <c:ser>
          <c:idx val="4"/>
          <c:order val="4"/>
          <c:tx>
            <c:strRef>
              <c:f>'PS4.05_Ind02'!$B$15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'PS4.05_Ind02'!$D$15:$H$15</c:f>
              <c:numCache>
                <c:formatCode>General</c:formatCode>
                <c:ptCount val="5"/>
                <c:pt idx="0">
                  <c:v>3.56</c:v>
                </c:pt>
                <c:pt idx="1">
                  <c:v>3.9</c:v>
                </c:pt>
                <c:pt idx="2">
                  <c:v>3.92</c:v>
                </c:pt>
                <c:pt idx="3">
                  <c:v>4.17</c:v>
                </c:pt>
                <c:pt idx="4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DF-49B0-97A2-43D660C10332}"/>
            </c:ext>
          </c:extLst>
        </c:ser>
        <c:ser>
          <c:idx val="5"/>
          <c:order val="5"/>
          <c:tx>
            <c:strRef>
              <c:f>'PS4.05_Ind02'!$B$16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'PS4.05_Ind02'!$D$16:$H$16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DF-49B0-97A2-43D660C10332}"/>
            </c:ext>
          </c:extLst>
        </c:ser>
        <c:ser>
          <c:idx val="6"/>
          <c:order val="6"/>
          <c:tx>
            <c:strRef>
              <c:f>'PS4.05_Ind02'!$B$17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'PS4.05_Ind02'!$D$17:$H$17</c:f>
              <c:numCache>
                <c:formatCode>General</c:formatCode>
                <c:ptCount val="5"/>
                <c:pt idx="0">
                  <c:v>3.38</c:v>
                </c:pt>
                <c:pt idx="1">
                  <c:v>3.57</c:v>
                </c:pt>
                <c:pt idx="2">
                  <c:v>0</c:v>
                </c:pt>
                <c:pt idx="3">
                  <c:v>4.5</c:v>
                </c:pt>
                <c:pt idx="4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DF-49B0-97A2-43D660C10332}"/>
            </c:ext>
          </c:extLst>
        </c:ser>
        <c:ser>
          <c:idx val="7"/>
          <c:order val="7"/>
          <c:tx>
            <c:strRef>
              <c:f>'PS4.05_Ind02'!$B$18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'PS4.05_Ind02'!$D$18:$H$18</c:f>
              <c:numCache>
                <c:formatCode>General</c:formatCode>
                <c:ptCount val="5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DF-49B0-97A2-43D660C10332}"/>
            </c:ext>
          </c:extLst>
        </c:ser>
        <c:ser>
          <c:idx val="8"/>
          <c:order val="8"/>
          <c:tx>
            <c:strRef>
              <c:f>'PS4.05_Ind02'!$B$19</c:f>
              <c:strCache>
                <c:ptCount val="1"/>
                <c:pt idx="0">
                  <c:v>Matemàtica Computacional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DF-49B0-97A2-43D660C10332}"/>
            </c:ext>
          </c:extLst>
        </c:ser>
        <c:ser>
          <c:idx val="9"/>
          <c:order val="9"/>
          <c:tx>
            <c:strRef>
              <c:f>'PS4.05_Ind02'!$B$20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'PS4.05_Ind02'!$D$20:$H$20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3.45</c:v>
                </c:pt>
                <c:pt idx="3">
                  <c:v>3.2</c:v>
                </c:pt>
                <c:pt idx="4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DF-49B0-97A2-43D660C10332}"/>
            </c:ext>
          </c:extLst>
        </c:ser>
        <c:ser>
          <c:idx val="10"/>
          <c:order val="10"/>
          <c:tx>
            <c:strRef>
              <c:f>'PS4.05_Ind02'!$B$21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'PS4.05_Ind02'!$D$21:$H$21</c:f>
              <c:numCache>
                <c:formatCode>General</c:formatCode>
                <c:ptCount val="5"/>
                <c:pt idx="0">
                  <c:v>3.81</c:v>
                </c:pt>
                <c:pt idx="1">
                  <c:v>4.1500000000000004</c:v>
                </c:pt>
                <c:pt idx="2">
                  <c:v>3.25</c:v>
                </c:pt>
                <c:pt idx="3">
                  <c:v>4.5</c:v>
                </c:pt>
                <c:pt idx="4">
                  <c:v>4.2699999999999996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DF-49B0-97A2-43D660C10332}"/>
            </c:ext>
          </c:extLst>
        </c:ser>
        <c:ser>
          <c:idx val="12"/>
          <c:order val="11"/>
          <c:tx>
            <c:strRef>
              <c:f>'PS4.05_Ind02'!$B$22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'PS4.05_Ind02'!$D$22:$H$22</c:f>
              <c:numCache>
                <c:formatCode>General</c:formatCode>
                <c:ptCount val="5"/>
                <c:pt idx="0">
                  <c:v>3.79</c:v>
                </c:pt>
                <c:pt idx="1">
                  <c:v>3.96</c:v>
                </c:pt>
                <c:pt idx="2">
                  <c:v>3.88</c:v>
                </c:pt>
                <c:pt idx="3">
                  <c:v>4.5</c:v>
                </c:pt>
                <c:pt idx="4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DF-49B0-97A2-43D660C1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63497664"/>
        <c:axId val="1981903920"/>
      </c:barChart>
      <c:lineChart>
        <c:grouping val="standard"/>
        <c:varyColors val="0"/>
        <c:ser>
          <c:idx val="11"/>
          <c:order val="12"/>
          <c:tx>
            <c:strRef>
              <c:f>'PS4.05_Ind02'!$B$25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'PS4.05_Ind02'!$D$11:$H$11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'PS4.05_Ind02'!$D$25:$H$25</c:f>
              <c:numCache>
                <c:formatCode>0.00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DF-49B0-97A2-43D660C1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497664"/>
        <c:axId val="1981903920"/>
      </c:lineChart>
      <c:catAx>
        <c:axId val="20634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81903920"/>
        <c:crosses val="autoZero"/>
        <c:auto val="1"/>
        <c:lblAlgn val="ctr"/>
        <c:lblOffset val="100"/>
        <c:noMultiLvlLbl val="0"/>
      </c:catAx>
      <c:valAx>
        <c:axId val="19819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634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 PS5.03_iND01 TAXA D'OCUPACIÓ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'PS5.03_Ind01'!$B$13</c:f>
              <c:strCache>
                <c:ptCount val="1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'PS5.03_Ind01'!$D$13:$G$13</c:f>
              <c:numCache>
                <c:formatCode>0.00%</c:formatCode>
                <c:ptCount val="4"/>
                <c:pt idx="0" formatCode="0%">
                  <c:v>0.7</c:v>
                </c:pt>
                <c:pt idx="1">
                  <c:v>0.84199999999999997</c:v>
                </c:pt>
                <c:pt idx="2" formatCode="0%">
                  <c:v>0.77</c:v>
                </c:pt>
                <c:pt idx="3">
                  <c:v>0.85699999999999998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9DE5-4695-9C8E-942A63CE7D64}"/>
            </c:ext>
          </c:extLst>
        </c:ser>
        <c:ser>
          <c:idx val="2"/>
          <c:order val="2"/>
          <c:tx>
            <c:strRef>
              <c:f>'PS5.03_Ind01'!$B$14</c:f>
              <c:strCache>
                <c:ptCount val="1"/>
                <c:pt idx="0">
                  <c:v>Estadística Aplicada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'PS5.03_Ind01'!$D$14:$G$14</c:f>
              <c:numCache>
                <c:formatCode>0.00%</c:formatCode>
                <c:ptCount val="4"/>
                <c:pt idx="0" formatCode="0%">
                  <c:v>0.87</c:v>
                </c:pt>
                <c:pt idx="1">
                  <c:v>0.95699999999999996</c:v>
                </c:pt>
                <c:pt idx="2">
                  <c:v>0.90300000000000002</c:v>
                </c:pt>
                <c:pt idx="3">
                  <c:v>0.92600000000000005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DE5-4695-9C8E-942A63CE7D64}"/>
            </c:ext>
          </c:extLst>
        </c:ser>
        <c:ser>
          <c:idx val="3"/>
          <c:order val="3"/>
          <c:tx>
            <c:strRef>
              <c:f>'PS5.03_Ind01'!$B$15</c:f>
              <c:strCache>
                <c:ptCount val="1"/>
                <c:pt idx="0">
                  <c:v>Física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'PS5.03_Ind01'!$D$15:$G$15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%">
                  <c:v>0.87</c:v>
                </c:pt>
                <c:pt idx="3" formatCode="0.00%">
                  <c:v>0.91100000000000003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9DE5-4695-9C8E-942A63CE7D64}"/>
            </c:ext>
          </c:extLst>
        </c:ser>
        <c:ser>
          <c:idx val="4"/>
          <c:order val="4"/>
          <c:tx>
            <c:strRef>
              <c:f>'PS5.03_Ind01'!$B$16</c:f>
              <c:strCache>
                <c:ptCount val="1"/>
                <c:pt idx="0">
                  <c:v>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'PS5.03_Ind01'!$D$16:$G$16</c:f>
              <c:numCache>
                <c:formatCode>0.00%</c:formatCode>
                <c:ptCount val="4"/>
                <c:pt idx="0" formatCode="General">
                  <c:v>0</c:v>
                </c:pt>
                <c:pt idx="1">
                  <c:v>0.69599999999999995</c:v>
                </c:pt>
                <c:pt idx="2">
                  <c:v>0.90300000000000002</c:v>
                </c:pt>
                <c:pt idx="3">
                  <c:v>0.93200000000000005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9DE5-4695-9C8E-942A63CE7D64}"/>
            </c:ext>
          </c:extLst>
        </c:ser>
        <c:ser>
          <c:idx val="5"/>
          <c:order val="5"/>
          <c:tx>
            <c:strRef>
              <c:f>'PS5.03_Ind01'!$B$17</c:f>
              <c:strCache>
                <c:ptCount val="1"/>
                <c:pt idx="0">
                  <c:v>Matemàtica Computacional i Analítica de Dades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'PS5.03_Ind01'!$D$17:$F$17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9DE5-4695-9C8E-942A63CE7D64}"/>
            </c:ext>
          </c:extLst>
        </c:ser>
        <c:ser>
          <c:idx val="6"/>
          <c:order val="6"/>
          <c:tx>
            <c:strRef>
              <c:f>'PS5.03_Ind01'!$B$18</c:f>
              <c:strCache>
                <c:ptCount val="1"/>
                <c:pt idx="0">
                  <c:v>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'PS5.03_Ind01'!$D$18:$G$18</c:f>
              <c:numCache>
                <c:formatCode>0%</c:formatCode>
                <c:ptCount val="4"/>
                <c:pt idx="0" formatCode="0.00%">
                  <c:v>0.95699999999999996</c:v>
                </c:pt>
                <c:pt idx="1">
                  <c:v>0.87</c:v>
                </c:pt>
                <c:pt idx="2" formatCode="0.00%">
                  <c:v>0.90300000000000002</c:v>
                </c:pt>
                <c:pt idx="3" formatCode="0.00%">
                  <c:v>0.88600000000000001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9DE5-4695-9C8E-942A63CE7D64}"/>
            </c:ext>
          </c:extLst>
        </c:ser>
        <c:ser>
          <c:idx val="7"/>
          <c:order val="7"/>
          <c:tx>
            <c:strRef>
              <c:f>'PS5.03_Ind01'!$B$19</c:f>
              <c:strCache>
                <c:ptCount val="1"/>
                <c:pt idx="0">
                  <c:v>Nanociència i Nanotecnologia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'PS5.03_Ind01'!$D$19:$G$19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%">
                  <c:v>0.91100000000000003</c:v>
                </c:pt>
                <c:pt idx="3" formatCode="0.00%">
                  <c:v>0.83599999999999997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9DE5-4695-9C8E-942A63CE7D64}"/>
            </c:ext>
          </c:extLst>
        </c:ser>
        <c:ser>
          <c:idx val="8"/>
          <c:order val="8"/>
          <c:tx>
            <c:strRef>
              <c:f>'PS5.03_Ind01'!$B$20</c:f>
              <c:strCache>
                <c:ptCount val="1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'PS5.03_Ind01'!$D$20:$G$20</c:f>
              <c:numCache>
                <c:formatCode>0.00%</c:formatCode>
                <c:ptCount val="4"/>
                <c:pt idx="0">
                  <c:v>0.81299999999999994</c:v>
                </c:pt>
                <c:pt idx="1">
                  <c:v>0.91800000000000004</c:v>
                </c:pt>
                <c:pt idx="2">
                  <c:v>0.90600000000000003</c:v>
                </c:pt>
                <c:pt idx="3">
                  <c:v>0.90100000000000002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9DE5-4695-9C8E-942A63CE7D64}"/>
            </c:ext>
          </c:extLst>
        </c:ser>
        <c:ser>
          <c:idx val="9"/>
          <c:order val="9"/>
          <c:tx>
            <c:strRef>
              <c:f>'PS5.03_Ind01'!$B$21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'PS5.03_Ind01'!$D$21:$G$21</c:f>
              <c:numCache>
                <c:formatCode>0.00%</c:formatCode>
                <c:ptCount val="4"/>
                <c:pt idx="0">
                  <c:v>0.878</c:v>
                </c:pt>
                <c:pt idx="1">
                  <c:v>0.92200000000000004</c:v>
                </c:pt>
                <c:pt idx="2">
                  <c:v>0.875</c:v>
                </c:pt>
                <c:pt idx="3" formatCode="0%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5-4695-9C8E-942A63CE7D64}"/>
            </c:ext>
          </c:extLst>
        </c:ser>
        <c:ser>
          <c:idx val="10"/>
          <c:order val="10"/>
          <c:tx>
            <c:strRef>
              <c:f>'PS5.03_Ind01'!$B$22</c:f>
              <c:strCache>
                <c:ptCount val="1"/>
                <c:pt idx="0">
                  <c:v>Física d’Altes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'PS5.03_Ind01'!$D$22:$G$22</c:f>
              <c:numCache>
                <c:formatCode>0.00%</c:formatCode>
                <c:ptCount val="4"/>
                <c:pt idx="0">
                  <c:v>0.76300000000000001</c:v>
                </c:pt>
                <c:pt idx="1">
                  <c:v>0.76800000000000002</c:v>
                </c:pt>
                <c:pt idx="2" formatCode="0%">
                  <c:v>0.85</c:v>
                </c:pt>
                <c:pt idx="3">
                  <c:v>0.95199999999999996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5-4695-9C8E-942A63CE7D64}"/>
            </c:ext>
          </c:extLst>
        </c:ser>
        <c:ser>
          <c:idx val="11"/>
          <c:order val="11"/>
          <c:tx>
            <c:strRef>
              <c:f>'PS5.03_Ind01'!$B$23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'PS5.03_Ind01'!$D$23:$G$23</c:f>
              <c:numCache>
                <c:formatCode>0.00%</c:formatCode>
                <c:ptCount val="4"/>
                <c:pt idx="0">
                  <c:v>0.71899999999999997</c:v>
                </c:pt>
                <c:pt idx="1">
                  <c:v>0.81299999999999994</c:v>
                </c:pt>
                <c:pt idx="2">
                  <c:v>0.877</c:v>
                </c:pt>
                <c:pt idx="3">
                  <c:v>0.76500000000000001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5-4695-9C8E-942A63CE7D64}"/>
            </c:ext>
          </c:extLst>
        </c:ser>
        <c:ser>
          <c:idx val="12"/>
          <c:order val="12"/>
          <c:tx>
            <c:strRef>
              <c:f>'PS5.03_Ind01'!$B$24</c:f>
              <c:strCache>
                <c:ptCount val="1"/>
                <c:pt idx="0">
                  <c:v>Modelització per a la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'PS5.03_Ind01'!$D$24:$G$24</c:f>
              <c:numCache>
                <c:formatCode>0.00%</c:formatCode>
                <c:ptCount val="4"/>
                <c:pt idx="0">
                  <c:v>0.76300000000000001</c:v>
                </c:pt>
                <c:pt idx="1">
                  <c:v>0.76800000000000002</c:v>
                </c:pt>
                <c:pt idx="2" formatCode="0%">
                  <c:v>0.85</c:v>
                </c:pt>
                <c:pt idx="3">
                  <c:v>0.93600000000000005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5-4695-9C8E-942A63CE7D64}"/>
            </c:ext>
          </c:extLst>
        </c:ser>
        <c:ser>
          <c:idx val="13"/>
          <c:order val="13"/>
          <c:tx>
            <c:strRef>
              <c:f>'PS5.03_Ind01'!$B$25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'PS5.03_Ind01'!$D$25:$G$25</c:f>
              <c:numCache>
                <c:formatCode>0.00%</c:formatCode>
                <c:ptCount val="4"/>
                <c:pt idx="0" formatCode="0%">
                  <c:v>0.92</c:v>
                </c:pt>
                <c:pt idx="1">
                  <c:v>0.89300000000000002</c:v>
                </c:pt>
                <c:pt idx="2">
                  <c:v>0.97099999999999997</c:v>
                </c:pt>
                <c:pt idx="3">
                  <c:v>0.95499999999999996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5-4695-9C8E-942A63CE7D64}"/>
            </c:ext>
          </c:extLst>
        </c:ser>
        <c:ser>
          <c:idx val="14"/>
          <c:order val="14"/>
          <c:tx>
            <c:strRef>
              <c:f>'PS5.03_Ind01'!$B$26</c:f>
              <c:strCache>
                <c:ptCount val="1"/>
                <c:pt idx="0">
                  <c:v>Palleobiologia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DE5-4695-9C8E-942A63CE7D64}"/>
              </c:ext>
            </c:extLst>
          </c:dPt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'PS5.03_Ind01'!$D$26:$G$26</c:f>
              <c:numCache>
                <c:formatCode>0.00%</c:formatCode>
                <c:ptCount val="4"/>
                <c:pt idx="0">
                  <c:v>0.83599999999999997</c:v>
                </c:pt>
                <c:pt idx="1">
                  <c:v>0.88900000000000001</c:v>
                </c:pt>
                <c:pt idx="2" formatCode="0%">
                  <c:v>0.88</c:v>
                </c:pt>
                <c:pt idx="3">
                  <c:v>0.85699999999999998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E5-4695-9C8E-942A63CE7D64}"/>
            </c:ext>
          </c:extLst>
        </c:ser>
        <c:ser>
          <c:idx val="15"/>
          <c:order val="15"/>
          <c:tx>
            <c:strRef>
              <c:f>'PS5.03_Ind01'!$B$27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'PS5.03_Ind01'!$D$12:$G$12</c:f>
              <c:numCache>
                <c:formatCode>General</c:formatCode>
                <c:ptCount val="4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'PS5.03_Ind01'!$D$27:$G$27</c:f>
              <c:numCache>
                <c:formatCode>0.00%</c:formatCode>
                <c:ptCount val="4"/>
                <c:pt idx="0" formatCode="0%">
                  <c:v>0.95</c:v>
                </c:pt>
                <c:pt idx="1">
                  <c:v>0.69199999999999995</c:v>
                </c:pt>
                <c:pt idx="2">
                  <c:v>0.82899999999999996</c:v>
                </c:pt>
                <c:pt idx="3">
                  <c:v>0.92200000000000004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E5-4695-9C8E-942A63CE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195375"/>
        <c:axId val="1351978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'PS5.03_Ind01'!$D$12:$G$12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2014</c:v>
                      </c:pt>
                      <c:pt idx="1">
                        <c:v>2017</c:v>
                      </c:pt>
                      <c:pt idx="2">
                        <c:v>2020</c:v>
                      </c:pt>
                      <c:pt idx="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'PS5.03_Ind01'!$D$4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9DE5-4695-9C8E-942A63CE7D6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6"/>
          <c:order val="16"/>
          <c:tx>
            <c:strRef>
              <c:f>'PS5.03_Ind01'!$B$30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'PS5.03_Ind01'!$D$12:$F$12</c:f>
              <c:numCache>
                <c:formatCode>General</c:formatCode>
                <c:ptCount val="3"/>
                <c:pt idx="0">
                  <c:v>2014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'PS5.03_Ind01'!$D$30:$G$30</c:f>
              <c:numCache>
                <c:formatCode>0%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E5-4695-9C8E-942A63CE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95375"/>
        <c:axId val="135197871"/>
      </c:lineChart>
      <c:catAx>
        <c:axId val="13519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197871"/>
        <c:crosses val="autoZero"/>
        <c:auto val="1"/>
        <c:lblAlgn val="ctr"/>
        <c:lblOffset val="100"/>
        <c:noMultiLvlLbl val="0"/>
      </c:catAx>
      <c:valAx>
        <c:axId val="13519787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519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/>
              <a:t>PS5.03_INd02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'PS5.03_Ind02'!$B$29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'PS5.03_Ind02'!$C$29:$E$29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9AE-4725-A6F7-9D00F75EB8B6}"/>
            </c:ext>
          </c:extLst>
        </c:ser>
        <c:ser>
          <c:idx val="1"/>
          <c:order val="1"/>
          <c:tx>
            <c:strRef>
              <c:f>'PS5.03_Ind02'!$B$12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'PS5.03_Ind02'!$C$12:$H$12</c:f>
              <c:numCache>
                <c:formatCode>General</c:formatCode>
                <c:ptCount val="6"/>
                <c:pt idx="0">
                  <c:v>45</c:v>
                </c:pt>
                <c:pt idx="1">
                  <c:v>42</c:v>
                </c:pt>
                <c:pt idx="2">
                  <c:v>31</c:v>
                </c:pt>
                <c:pt idx="3">
                  <c:v>48</c:v>
                </c:pt>
                <c:pt idx="4">
                  <c:v>44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E-4725-A6F7-9D00F75EB8B6}"/>
            </c:ext>
          </c:extLst>
        </c:ser>
        <c:ser>
          <c:idx val="2"/>
          <c:order val="2"/>
          <c:tx>
            <c:strRef>
              <c:f>'PS5.03_Ind02'!$B$13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'PS5.03_Ind02'!$C$13:$H$13</c:f>
              <c:numCache>
                <c:formatCode>General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E-4725-A6F7-9D00F75EB8B6}"/>
            </c:ext>
          </c:extLst>
        </c:ser>
        <c:ser>
          <c:idx val="3"/>
          <c:order val="3"/>
          <c:tx>
            <c:strRef>
              <c:f>'PS5.03_Ind02'!$B$14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'PS5.03_Ind02'!$C$14:$H$14</c:f>
              <c:numCache>
                <c:formatCode>General</c:formatCode>
                <c:ptCount val="6"/>
                <c:pt idx="0">
                  <c:v>38</c:v>
                </c:pt>
                <c:pt idx="1">
                  <c:v>43</c:v>
                </c:pt>
                <c:pt idx="2">
                  <c:v>28</c:v>
                </c:pt>
                <c:pt idx="3">
                  <c:v>40</c:v>
                </c:pt>
                <c:pt idx="4">
                  <c:v>39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E-4725-A6F7-9D00F75EB8B6}"/>
            </c:ext>
          </c:extLst>
        </c:ser>
        <c:ser>
          <c:idx val="4"/>
          <c:order val="4"/>
          <c:tx>
            <c:strRef>
              <c:f>'PS5.03_Ind02'!$B$15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'PS5.03_Ind02'!$C$15:$H$15</c:f>
              <c:numCache>
                <c:formatCode>General</c:formatCode>
                <c:ptCount val="6"/>
                <c:pt idx="0">
                  <c:v>45</c:v>
                </c:pt>
                <c:pt idx="1">
                  <c:v>33</c:v>
                </c:pt>
                <c:pt idx="2">
                  <c:v>29</c:v>
                </c:pt>
                <c:pt idx="3">
                  <c:v>52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AE-4725-A6F7-9D00F75EB8B6}"/>
            </c:ext>
          </c:extLst>
        </c:ser>
        <c:ser>
          <c:idx val="5"/>
          <c:order val="5"/>
          <c:tx>
            <c:strRef>
              <c:f>'PS5.03_Ind02'!$B$16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AE-4725-A6F7-9D00F75EB8B6}"/>
            </c:ext>
          </c:extLst>
        </c:ser>
        <c:ser>
          <c:idx val="6"/>
          <c:order val="6"/>
          <c:tx>
            <c:strRef>
              <c:f>'PS5.03_Ind02'!$B$17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'PS5.03_Ind02'!$C$17:$H$17</c:f>
              <c:numCache>
                <c:formatCode>General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26</c:v>
                </c:pt>
                <c:pt idx="3">
                  <c:v>33</c:v>
                </c:pt>
                <c:pt idx="4">
                  <c:v>50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E-4725-A6F7-9D00F75EB8B6}"/>
            </c:ext>
          </c:extLst>
        </c:ser>
        <c:ser>
          <c:idx val="7"/>
          <c:order val="7"/>
          <c:tx>
            <c:strRef>
              <c:f>'PS5.03_Ind02'!$B$18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'PS5.03_Ind02'!$C$18:$H$18</c:f>
              <c:numCache>
                <c:formatCode>General</c:formatCode>
                <c:ptCount val="6"/>
                <c:pt idx="0">
                  <c:v>40</c:v>
                </c:pt>
                <c:pt idx="1">
                  <c:v>46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AE-4725-A6F7-9D00F75EB8B6}"/>
            </c:ext>
          </c:extLst>
        </c:ser>
        <c:ser>
          <c:idx val="8"/>
          <c:order val="8"/>
          <c:tx>
            <c:strRef>
              <c:f>'PS5.03_Ind02'!$B$19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'PS5.03_Ind02'!$C$19:$H$19</c:f>
              <c:numCache>
                <c:formatCode>General</c:formatCode>
                <c:ptCount val="6"/>
                <c:pt idx="0">
                  <c:v>59</c:v>
                </c:pt>
                <c:pt idx="1">
                  <c:v>42</c:v>
                </c:pt>
                <c:pt idx="2">
                  <c:v>43</c:v>
                </c:pt>
                <c:pt idx="3">
                  <c:v>39</c:v>
                </c:pt>
                <c:pt idx="4">
                  <c:v>48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AE-4725-A6F7-9D00F75EB8B6}"/>
            </c:ext>
          </c:extLst>
        </c:ser>
        <c:ser>
          <c:idx val="9"/>
          <c:order val="9"/>
          <c:tx>
            <c:strRef>
              <c:f>'PS5.03_Ind02'!$B$20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'PS5.03_Ind02'!$C$20:$H$20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  <c:pt idx="2">
                  <c:v>34</c:v>
                </c:pt>
                <c:pt idx="3">
                  <c:v>38</c:v>
                </c:pt>
                <c:pt idx="4">
                  <c:v>24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AE-4725-A6F7-9D00F75EB8B6}"/>
            </c:ext>
          </c:extLst>
        </c:ser>
        <c:ser>
          <c:idx val="10"/>
          <c:order val="10"/>
          <c:tx>
            <c:strRef>
              <c:f>'PS5.03_Ind02'!$B$21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'PS5.03_Ind02'!$C$21:$H$21</c:f>
              <c:numCache>
                <c:formatCode>General</c:formatCode>
                <c:ptCount val="6"/>
                <c:pt idx="0">
                  <c:v>43</c:v>
                </c:pt>
                <c:pt idx="1">
                  <c:v>42</c:v>
                </c:pt>
                <c:pt idx="2">
                  <c:v>47</c:v>
                </c:pt>
                <c:pt idx="3">
                  <c:v>38</c:v>
                </c:pt>
                <c:pt idx="4">
                  <c:v>21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AE-4725-A6F7-9D00F75EB8B6}"/>
            </c:ext>
          </c:extLst>
        </c:ser>
        <c:ser>
          <c:idx val="11"/>
          <c:order val="11"/>
          <c:tx>
            <c:strRef>
              <c:f>'PS5.03_Ind02'!$B$22</c:f>
              <c:strCache>
                <c:ptCount val="1"/>
                <c:pt idx="0">
                  <c:v>Estudis Intersdisciplinars en Sost. Ambiental, Econ. i Social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'PS5.03_Ind02'!$C$22:$H$22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AE-4725-A6F7-9D00F75EB8B6}"/>
            </c:ext>
          </c:extLst>
        </c:ser>
        <c:ser>
          <c:idx val="12"/>
          <c:order val="12"/>
          <c:tx>
            <c:strRef>
              <c:f>'PS5.03_Ind02'!$B$23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'PS5.03_Ind02'!$C$11:$H$11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'PS5.03_Ind02'!$C$23:$H$23</c:f>
              <c:numCache>
                <c:formatCode>General</c:formatCode>
                <c:ptCount val="6"/>
                <c:pt idx="0">
                  <c:v>11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AE-4725-A6F7-9D00F75EB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0113392"/>
        <c:axId val="1381472720"/>
      </c:barChart>
      <c:lineChart>
        <c:grouping val="standard"/>
        <c:varyColors val="0"/>
        <c:ser>
          <c:idx val="13"/>
          <c:order val="13"/>
          <c:tx>
            <c:strRef>
              <c:f>'PS5.03_Ind02'!$B$26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'PS5.03_Ind02'!$C$11:$G$11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'PS5.03_Ind02'!$C$26:$H$26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AE-4725-A6F7-9D00F75EB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113392"/>
        <c:axId val="1381472720"/>
      </c:lineChart>
      <c:catAx>
        <c:axId val="127011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472720"/>
        <c:crosses val="autoZero"/>
        <c:auto val="1"/>
        <c:lblAlgn val="ctr"/>
        <c:lblOffset val="100"/>
        <c:noMultiLvlLbl val="0"/>
      </c:catAx>
      <c:valAx>
        <c:axId val="13814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7011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PS5.03_Ind03. Valoració mitjana a l’afirmació “La formació rebuda m’ha permès millorar les capacitats per a l’activitat professional</a:t>
            </a:r>
            <a:r>
              <a:rPr lang="ca-ES" sz="1000">
                <a:effectLst/>
              </a:rPr>
              <a:t>”.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'PS5.03_Ind03'!$B$36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'PS5.03_Ind03'!$C$36:$E$36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A25-4BB6-9A7F-643F6C492A31}"/>
            </c:ext>
          </c:extLst>
        </c:ser>
        <c:ser>
          <c:idx val="1"/>
          <c:order val="1"/>
          <c:tx>
            <c:strRef>
              <c:f>'PS5.03_Ind03'!$B$13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'PS5.03_Ind03'!$D$13:$H$13</c:f>
              <c:numCache>
                <c:formatCode>General</c:formatCode>
                <c:ptCount val="5"/>
                <c:pt idx="0">
                  <c:v>3.73</c:v>
                </c:pt>
                <c:pt idx="1">
                  <c:v>0</c:v>
                </c:pt>
                <c:pt idx="2">
                  <c:v>3.5</c:v>
                </c:pt>
                <c:pt idx="3">
                  <c:v>4.4000000000000004</c:v>
                </c:pt>
                <c:pt idx="4">
                  <c:v>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5-4BB6-9A7F-643F6C492A31}"/>
            </c:ext>
          </c:extLst>
        </c:ser>
        <c:ser>
          <c:idx val="2"/>
          <c:order val="2"/>
          <c:tx>
            <c:strRef>
              <c:f>'PS5.03_Ind03'!$B$14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3.4</c:v>
                </c:pt>
                <c:pt idx="3">
                  <c:v>4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5-4BB6-9A7F-643F6C492A31}"/>
            </c:ext>
          </c:extLst>
        </c:ser>
        <c:ser>
          <c:idx val="3"/>
          <c:order val="3"/>
          <c:tx>
            <c:strRef>
              <c:f>'PS5.03_Ind03'!$B$15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'PS5.03_Ind03'!$D$15:$H$15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4.5</c:v>
                </c:pt>
                <c:pt idx="3">
                  <c:v>2.5</c:v>
                </c:pt>
                <c:pt idx="4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5-4BB6-9A7F-643F6C492A31}"/>
            </c:ext>
          </c:extLst>
        </c:ser>
        <c:ser>
          <c:idx val="4"/>
          <c:order val="4"/>
          <c:tx>
            <c:strRef>
              <c:f>'PS5.03_Ind03'!$B$16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'PS5.03_Ind03'!$D$16:$H$16</c:f>
              <c:numCache>
                <c:formatCode>General</c:formatCode>
                <c:ptCount val="5"/>
                <c:pt idx="0">
                  <c:v>3.33</c:v>
                </c:pt>
                <c:pt idx="1">
                  <c:v>3.52</c:v>
                </c:pt>
                <c:pt idx="2">
                  <c:v>3.46</c:v>
                </c:pt>
                <c:pt idx="3">
                  <c:v>2.5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25-4BB6-9A7F-643F6C492A31}"/>
            </c:ext>
          </c:extLst>
        </c:ser>
        <c:ser>
          <c:idx val="5"/>
          <c:order val="5"/>
          <c:tx>
            <c:strRef>
              <c:f>'PS5.03_Ind03'!$B$17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25-4BB6-9A7F-643F6C492A31}"/>
            </c:ext>
          </c:extLst>
        </c:ser>
        <c:ser>
          <c:idx val="6"/>
          <c:order val="6"/>
          <c:tx>
            <c:strRef>
              <c:f>'PS5.03_Ind03'!$B$18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'PS5.03_Ind03'!$D$18:$H$18</c:f>
              <c:numCache>
                <c:formatCode>General</c:formatCode>
                <c:ptCount val="5"/>
                <c:pt idx="0">
                  <c:v>3.25</c:v>
                </c:pt>
                <c:pt idx="1">
                  <c:v>4.1399999999999997</c:v>
                </c:pt>
                <c:pt idx="2">
                  <c:v>0</c:v>
                </c:pt>
                <c:pt idx="3">
                  <c:v>3.25</c:v>
                </c:pt>
                <c:pt idx="4">
                  <c:v>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25-4BB6-9A7F-643F6C492A31}"/>
            </c:ext>
          </c:extLst>
        </c:ser>
        <c:ser>
          <c:idx val="7"/>
          <c:order val="7"/>
          <c:tx>
            <c:strRef>
              <c:f>'PS5.03_Ind03'!$B$19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'PS5.03_Ind03'!$D$19:$H$19</c:f>
              <c:numCache>
                <c:formatCode>General</c:formatCode>
                <c:ptCount val="5"/>
                <c:pt idx="0">
                  <c:v>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25-4BB6-9A7F-643F6C492A31}"/>
            </c:ext>
          </c:extLst>
        </c:ser>
        <c:ser>
          <c:idx val="8"/>
          <c:order val="8"/>
          <c:tx>
            <c:strRef>
              <c:f>'PS5.03_Ind03'!$B$20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25-4BB6-9A7F-643F6C492A31}"/>
            </c:ext>
          </c:extLst>
        </c:ser>
        <c:ser>
          <c:idx val="9"/>
          <c:order val="9"/>
          <c:tx>
            <c:strRef>
              <c:f>'PS5.03_Ind03'!$B$21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'PS5.03_Ind03'!$D$21:$H$21</c:f>
              <c:numCache>
                <c:formatCode>General</c:formatCode>
                <c:ptCount val="5"/>
                <c:pt idx="0">
                  <c:v>4.0999999999999996</c:v>
                </c:pt>
                <c:pt idx="1">
                  <c:v>3.57</c:v>
                </c:pt>
                <c:pt idx="2">
                  <c:v>4</c:v>
                </c:pt>
                <c:pt idx="3">
                  <c:v>1.6</c:v>
                </c:pt>
                <c:pt idx="4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25-4BB6-9A7F-643F6C492A31}"/>
            </c:ext>
          </c:extLst>
        </c:ser>
        <c:ser>
          <c:idx val="10"/>
          <c:order val="10"/>
          <c:tx>
            <c:strRef>
              <c:f>'PS5.03_Ind03'!$B$22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'PS5.03_Ind03'!$D$22:$H$22</c:f>
              <c:numCache>
                <c:formatCode>General</c:formatCode>
                <c:ptCount val="5"/>
                <c:pt idx="0">
                  <c:v>4.09</c:v>
                </c:pt>
                <c:pt idx="1">
                  <c:v>4.4400000000000004</c:v>
                </c:pt>
                <c:pt idx="2">
                  <c:v>4.4000000000000004</c:v>
                </c:pt>
                <c:pt idx="3">
                  <c:v>2.5</c:v>
                </c:pt>
                <c:pt idx="4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25-4BB6-9A7F-643F6C492A31}"/>
            </c:ext>
          </c:extLst>
        </c:ser>
        <c:ser>
          <c:idx val="11"/>
          <c:order val="11"/>
          <c:tx>
            <c:strRef>
              <c:f>'PS5.03_Ind03'!$B$23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'PS5.03_Ind03'!$D$23:$H$23</c:f>
              <c:numCache>
                <c:formatCode>General</c:formatCode>
                <c:ptCount val="5"/>
                <c:pt idx="0">
                  <c:v>3.71</c:v>
                </c:pt>
                <c:pt idx="1">
                  <c:v>3.7</c:v>
                </c:pt>
                <c:pt idx="2">
                  <c:v>3.08</c:v>
                </c:pt>
                <c:pt idx="3">
                  <c:v>3.75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25-4BB6-9A7F-643F6C492A31}"/>
            </c:ext>
          </c:extLst>
        </c:ser>
        <c:ser>
          <c:idx val="12"/>
          <c:order val="12"/>
          <c:tx>
            <c:strRef>
              <c:f>'PS5.03_Ind03'!$B$24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'PS5.03_Ind03'!$D$24:$H$24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3.67</c:v>
                </c:pt>
                <c:pt idx="3">
                  <c:v>0</c:v>
                </c:pt>
                <c:pt idx="4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25-4BB6-9A7F-643F6C492A31}"/>
            </c:ext>
          </c:extLst>
        </c:ser>
        <c:ser>
          <c:idx val="13"/>
          <c:order val="13"/>
          <c:tx>
            <c:strRef>
              <c:f>'PS5.03_Ind03'!$B$25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'PS5.03_Ind03'!$D$25:$H$25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25-4BB6-9A7F-643F6C492A31}"/>
            </c:ext>
          </c:extLst>
        </c:ser>
        <c:ser>
          <c:idx val="14"/>
          <c:order val="14"/>
          <c:tx>
            <c:strRef>
              <c:f>'PS5.03_Ind03'!$B$26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'PS5.03_Ind03'!$D$26:$H$26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4.4400000000000004</c:v>
                </c:pt>
                <c:pt idx="3">
                  <c:v>0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25-4BB6-9A7F-643F6C492A31}"/>
            </c:ext>
          </c:extLst>
        </c:ser>
        <c:ser>
          <c:idx val="15"/>
          <c:order val="15"/>
          <c:tx>
            <c:strRef>
              <c:f>'PS5.03_Ind03'!$B$27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'PS5.03_Ind03'!$D$27:$H$27</c:f>
              <c:numCache>
                <c:formatCode>General</c:formatCode>
                <c:ptCount val="5"/>
                <c:pt idx="0">
                  <c:v>4.5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25-4BB6-9A7F-643F6C492A31}"/>
            </c:ext>
          </c:extLst>
        </c:ser>
        <c:ser>
          <c:idx val="16"/>
          <c:order val="16"/>
          <c:tx>
            <c:strRef>
              <c:f>'PS5.03_Ind03'!$B$28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'PS5.03_Ind03'!$D$28:$H$28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A25-4BB6-9A7F-643F6C492A31}"/>
            </c:ext>
          </c:extLst>
        </c:ser>
        <c:ser>
          <c:idx val="17"/>
          <c:order val="17"/>
          <c:tx>
            <c:strRef>
              <c:f>'PS5.03_Ind03'!$B$29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'PS5.03_Ind03'!$D$29:$H$29</c:f>
              <c:numCache>
                <c:formatCode>General</c:formatCode>
                <c:ptCount val="5"/>
                <c:pt idx="0">
                  <c:v>4.5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A25-4BB6-9A7F-643F6C492A31}"/>
            </c:ext>
          </c:extLst>
        </c:ser>
        <c:ser>
          <c:idx val="18"/>
          <c:order val="18"/>
          <c:tx>
            <c:strRef>
              <c:f>'PS5.03_Ind03'!$B$30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'PS5.03_Ind03'!$D$30:$H$30</c:f>
              <c:numCache>
                <c:formatCode>General</c:formatCode>
                <c:ptCount val="5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25-4BB6-9A7F-643F6C492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35227600"/>
        <c:axId val="1349764864"/>
      </c:barChart>
      <c:lineChart>
        <c:grouping val="standard"/>
        <c:varyColors val="0"/>
        <c:ser>
          <c:idx val="19"/>
          <c:order val="19"/>
          <c:tx>
            <c:strRef>
              <c:f>'PS5.03_Ind03'!$B$33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'PS5.03_Ind03'!$D$12:$H$12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'PS5.03_Ind03'!$D$33:$H$33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A25-4BB6-9A7F-643F6C492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227600"/>
        <c:axId val="1349764864"/>
      </c:lineChart>
      <c:catAx>
        <c:axId val="183522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9764864"/>
        <c:crosses val="autoZero"/>
        <c:auto val="1"/>
        <c:lblAlgn val="ctr"/>
        <c:lblOffset val="100"/>
        <c:noMultiLvlLbl val="0"/>
      </c:catAx>
      <c:valAx>
        <c:axId val="13497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3522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PS5.03_Ind04</a:t>
            </a:r>
            <a:r>
              <a:rPr lang="ca-ES" sz="1200" b="1" baseline="0">
                <a:effectLst/>
              </a:rPr>
              <a:t> Evolució del nombre d'empreses (Indicador Pla Estratègic de 22/23 fins 24/25)</a:t>
            </a:r>
            <a:r>
              <a:rPr lang="ca-ES" sz="1200" b="1">
                <a:effectLst/>
              </a:rPr>
              <a:t>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'PS5.03_Ind04'!$B$13</c:f>
              <c:strCache>
                <c:ptCount val="1"/>
                <c:pt idx="0">
                  <c:v>Evolució del nombre d'empreses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'PS5.03_Ind04'!$F$12:$H$12</c:f>
              <c:strCache>
                <c:ptCount val="3"/>
                <c:pt idx="0">
                  <c:v>2020/2021</c:v>
                </c:pt>
                <c:pt idx="1">
                  <c:v>2021/2022</c:v>
                </c:pt>
                <c:pt idx="2">
                  <c:v>2022/2023</c:v>
                </c:pt>
              </c:strCache>
            </c:strRef>
          </c:cat>
          <c:val>
            <c:numRef>
              <c:f>'PS5.03_Ind04'!$E$13:$G$13</c:f>
              <c:numCache>
                <c:formatCode>General</c:formatCode>
                <c:ptCount val="3"/>
                <c:pt idx="0">
                  <c:v>153</c:v>
                </c:pt>
                <c:pt idx="1">
                  <c:v>159</c:v>
                </c:pt>
                <c:pt idx="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F-41E3-87DF-1FBB16F9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7754480"/>
        <c:axId val="17656989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A1F-41E3-87DF-1FBB16F94A2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A1F-41E3-87DF-1FBB16F94A2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1F-41E3-87DF-1FBB16F94A2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A1F-41E3-87DF-1FBB16F94A2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A1F-41E3-87DF-1FBB16F94A2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A1F-41E3-87DF-1FBB16F94A2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A1F-41E3-87DF-1FBB16F94A2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A1F-41E3-87DF-1FBB16F94A2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A1F-41E3-87DF-1FBB16F94A2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A1F-41E3-87DF-1FBB16F94A2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A1F-41E3-87DF-1FBB16F94A2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A1F-41E3-87DF-1FBB16F94A2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A1F-41E3-87DF-1FBB16F94A26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A1F-41E3-87DF-1FBB16F94A26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A1F-41E3-87DF-1FBB16F94A26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'PS5.03_Ind04'!$F$12:$H$12</c15:sqref>
                        </c15:formulaRef>
                      </c:ext>
                    </c:extLst>
                    <c:strCache>
                      <c:ptCount val="3"/>
                      <c:pt idx="0">
                        <c:v>2020/2021</c:v>
                      </c:pt>
                      <c:pt idx="1">
                        <c:v>2021/2022</c:v>
                      </c:pt>
                      <c:pt idx="2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'PS4.03_Ind03'!#REF!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A1F-41E3-87DF-1FBB16F94A2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7"/>
          <c:tx>
            <c:strRef>
              <c:f>'PS5.03_Ind04'!$B$15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'PS5.03_Ind04'!$E$12:$G$12</c:f>
              <c:strCache>
                <c:ptCount val="3"/>
                <c:pt idx="0">
                  <c:v>2019/2020</c:v>
                </c:pt>
                <c:pt idx="1">
                  <c:v>2020/2021</c:v>
                </c:pt>
                <c:pt idx="2">
                  <c:v>2021/2022</c:v>
                </c:pt>
              </c:strCache>
            </c:strRef>
          </c:cat>
          <c:val>
            <c:numRef>
              <c:f>'PS5.03_Ind04'!$E$15:$G$15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F-41E3-87DF-1FBB16F9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754480"/>
        <c:axId val="1765698976"/>
      </c:lineChart>
      <c:catAx>
        <c:axId val="13777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65698976"/>
        <c:crosses val="autoZero"/>
        <c:auto val="1"/>
        <c:lblAlgn val="ctr"/>
        <c:lblOffset val="100"/>
        <c:noMultiLvlLbl val="0"/>
      </c:catAx>
      <c:valAx>
        <c:axId val="17656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77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>
                <a:solidFill>
                  <a:srgbClr val="757575"/>
                </a:solidFill>
                <a:latin typeface="Arial"/>
              </a:defRPr>
            </a:pPr>
            <a:r>
              <a:rPr lang="en-US"/>
              <a:t> </a:t>
            </a:r>
          </a:p>
          <a:p>
            <a:pPr lvl="0">
              <a:defRPr sz="1400" b="1">
                <a:solidFill>
                  <a:srgbClr val="757575"/>
                </a:solidFill>
                <a:latin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6512189302279565"/>
          <c:y val="1.8713450292397661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50" b="1" baseline="0">
                    <a:solidFill>
                      <a:srgbClr val="0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'PS5.04_Ind01'!$D$34:$G$34</c:f>
              <c:numCache>
                <c:formatCode>0.00%</c:formatCode>
                <c:ptCount val="4"/>
                <c:pt idx="0">
                  <c:v>0.1875</c:v>
                </c:pt>
                <c:pt idx="1">
                  <c:v>6.25E-2</c:v>
                </c:pt>
                <c:pt idx="2">
                  <c:v>6.25E-2</c:v>
                </c:pt>
                <c:pt idx="3">
                  <c:v>0.27777777777777779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80E-40E3-8192-E7391B8B2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23127"/>
        <c:axId val="517237689"/>
      </c:barChart>
      <c:catAx>
        <c:axId val="1151423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a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660" b="0" baseline="0">
                <a:solidFill>
                  <a:srgbClr val="000000"/>
                </a:solidFill>
                <a:latin typeface="+mn-lt"/>
              </a:defRPr>
            </a:pPr>
            <a:endParaRPr lang="ca-ES"/>
          </a:p>
        </c:txPr>
        <c:crossAx val="517237689"/>
        <c:crosses val="autoZero"/>
        <c:auto val="1"/>
        <c:lblAlgn val="ctr"/>
        <c:lblOffset val="100"/>
        <c:noMultiLvlLbl val="1"/>
      </c:catAx>
      <c:valAx>
        <c:axId val="5172376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a-ES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ca-ES"/>
          </a:p>
        </c:txPr>
        <c:crossAx val="115142312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PS5.04_Ind01: Percentatge de participació a les enquestes PAAD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5.4884844620039112E-2"/>
          <c:y val="0.17148024173470686"/>
          <c:w val="0.90673235641715266"/>
          <c:h val="0.763910068426197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'PS5.04_Ind01'!$B$13</c:f>
              <c:strCache>
                <c:ptCount val="1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'PS5.04_Ind01'!$E$13:$I$13</c:f>
              <c:numCache>
                <c:formatCode>0.00%</c:formatCode>
                <c:ptCount val="5"/>
                <c:pt idx="0">
                  <c:v>0.16699999999999998</c:v>
                </c:pt>
                <c:pt idx="1">
                  <c:v>9.6000000000000002E-2</c:v>
                </c:pt>
                <c:pt idx="2">
                  <c:v>0.2445</c:v>
                </c:pt>
                <c:pt idx="3">
                  <c:v>0.2235</c:v>
                </c:pt>
                <c:pt idx="4">
                  <c:v>0.38450000000000001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83C-4E24-A404-2FCD5B8C55C7}"/>
            </c:ext>
          </c:extLst>
        </c:ser>
        <c:ser>
          <c:idx val="2"/>
          <c:order val="2"/>
          <c:tx>
            <c:strRef>
              <c:f>'PS5.04_Ind01'!$B$14</c:f>
              <c:strCache>
                <c:ptCount val="1"/>
                <c:pt idx="0">
                  <c:v>Ciències Ambientals i Grau en 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'PS5.04_Ind01'!$E$14:$I$14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0.23499999999999999</c:v>
                </c:pt>
                <c:pt idx="3">
                  <c:v>0.2195</c:v>
                </c:pt>
                <c:pt idx="4">
                  <c:v>0.35649999999999998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83C-4E24-A404-2FCD5B8C55C7}"/>
            </c:ext>
          </c:extLst>
        </c:ser>
        <c:ser>
          <c:idx val="3"/>
          <c:order val="3"/>
          <c:tx>
            <c:strRef>
              <c:f>'PS5.04_Ind01'!$B$15</c:f>
              <c:strCache>
                <c:ptCount val="1"/>
                <c:pt idx="0">
                  <c:v>Estadística Aplicada   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'PS5.04_Ind01'!$E$15:$I$15</c:f>
              <c:numCache>
                <c:formatCode>0.00%</c:formatCode>
                <c:ptCount val="5"/>
                <c:pt idx="0">
                  <c:v>0.19550000000000001</c:v>
                </c:pt>
                <c:pt idx="1">
                  <c:v>0.11900000000000001</c:v>
                </c:pt>
                <c:pt idx="2">
                  <c:v>0.27550000000000002</c:v>
                </c:pt>
                <c:pt idx="3">
                  <c:v>0.17949999999999999</c:v>
                </c:pt>
                <c:pt idx="4">
                  <c:v>0.32250000000000001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583C-4E24-A404-2FCD5B8C55C7}"/>
            </c:ext>
          </c:extLst>
        </c:ser>
        <c:ser>
          <c:idx val="4"/>
          <c:order val="4"/>
          <c:tx>
            <c:strRef>
              <c:f>'PS5.04_Ind01'!$B$16</c:f>
              <c:strCache>
                <c:ptCount val="1"/>
                <c:pt idx="0">
                  <c:v>Física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'PS5.04_Ind01'!$E$16:$I$16</c:f>
              <c:numCache>
                <c:formatCode>0.00%</c:formatCode>
                <c:ptCount val="5"/>
                <c:pt idx="0">
                  <c:v>0.214</c:v>
                </c:pt>
                <c:pt idx="1">
                  <c:v>0.1115</c:v>
                </c:pt>
                <c:pt idx="2">
                  <c:v>0.34599999999999997</c:v>
                </c:pt>
                <c:pt idx="3">
                  <c:v>0.32250000000000001</c:v>
                </c:pt>
                <c:pt idx="4">
                  <c:v>0.41949999999999998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583C-4E24-A404-2FCD5B8C55C7}"/>
            </c:ext>
          </c:extLst>
        </c:ser>
        <c:ser>
          <c:idx val="5"/>
          <c:order val="5"/>
          <c:tx>
            <c:strRef>
              <c:f>'PS5.04_Ind01'!$B$17</c:f>
              <c:strCache>
                <c:ptCount val="1"/>
                <c:pt idx="0">
                  <c:v>Física i 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'PS5.04_Ind01'!$E$17:$I$17</c:f>
              <c:numCache>
                <c:formatCode>0.00%</c:formatCode>
                <c:ptCount val="5"/>
                <c:pt idx="0">
                  <c:v>0.21449999999999997</c:v>
                </c:pt>
                <c:pt idx="1">
                  <c:v>0.11799999999999999</c:v>
                </c:pt>
                <c:pt idx="2">
                  <c:v>0.39500000000000002</c:v>
                </c:pt>
                <c:pt idx="3">
                  <c:v>0.41949999999999998</c:v>
                </c:pt>
                <c:pt idx="4">
                  <c:v>0.36349999999999999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83C-4E24-A404-2FCD5B8C55C7}"/>
            </c:ext>
          </c:extLst>
        </c:ser>
        <c:ser>
          <c:idx val="6"/>
          <c:order val="6"/>
          <c:tx>
            <c:strRef>
              <c:f>'PS5.04_Ind01'!$B$18</c:f>
              <c:strCache>
                <c:ptCount val="1"/>
                <c:pt idx="0">
                  <c:v>Física i 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'PS5.04_Ind01'!$E$18:$I$18</c:f>
              <c:numCache>
                <c:formatCode>0.00%</c:formatCode>
                <c:ptCount val="5"/>
                <c:pt idx="0">
                  <c:v>0.18049999999999999</c:v>
                </c:pt>
                <c:pt idx="1">
                  <c:v>0.11599999999999999</c:v>
                </c:pt>
                <c:pt idx="2">
                  <c:v>0.47549999999999998</c:v>
                </c:pt>
                <c:pt idx="3">
                  <c:v>0.48599999999999999</c:v>
                </c:pt>
                <c:pt idx="4">
                  <c:v>0.46949999999999997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583C-4E24-A404-2FCD5B8C55C7}"/>
            </c:ext>
          </c:extLst>
        </c:ser>
        <c:ser>
          <c:idx val="7"/>
          <c:order val="7"/>
          <c:tx>
            <c:strRef>
              <c:f>'PS5.04_Ind01'!$B$19</c:f>
              <c:strCache>
                <c:ptCount val="1"/>
                <c:pt idx="0">
                  <c:v>Geologia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'PS5.04_Ind01'!$E$19:$I$19</c:f>
              <c:numCache>
                <c:formatCode>0.00%</c:formatCode>
                <c:ptCount val="5"/>
                <c:pt idx="0">
                  <c:v>0.2175</c:v>
                </c:pt>
                <c:pt idx="1">
                  <c:v>4.5999999999999999E-2</c:v>
                </c:pt>
                <c:pt idx="2">
                  <c:v>0.2215</c:v>
                </c:pt>
                <c:pt idx="3">
                  <c:v>0.22950000000000001</c:v>
                </c:pt>
                <c:pt idx="4">
                  <c:v>0.27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583C-4E24-A404-2FCD5B8C55C7}"/>
            </c:ext>
          </c:extLst>
        </c:ser>
        <c:ser>
          <c:idx val="8"/>
          <c:order val="8"/>
          <c:tx>
            <c:strRef>
              <c:f>'PS5.04_Ind01'!$B$20</c:f>
              <c:strCache>
                <c:ptCount val="1"/>
                <c:pt idx="0">
                  <c:v>Matemàtica Computacional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'PS5.04_Ind01'!$E$20:$I$20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0.53400000000000003</c:v>
                </c:pt>
                <c:pt idx="3">
                  <c:v>0.40050000000000002</c:v>
                </c:pt>
                <c:pt idx="4">
                  <c:v>0.42449999999999999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83C-4E24-A404-2FCD5B8C55C7}"/>
            </c:ext>
          </c:extLst>
        </c:ser>
        <c:ser>
          <c:idx val="9"/>
          <c:order val="9"/>
          <c:tx>
            <c:strRef>
              <c:f>'PS5.04_Ind01'!$B$21</c:f>
              <c:strCache>
                <c:ptCount val="1"/>
                <c:pt idx="0">
                  <c:v>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'PS5.04_Ind01'!$E$21:$I$21</c:f>
              <c:numCache>
                <c:formatCode>0.00%</c:formatCode>
                <c:ptCount val="5"/>
                <c:pt idx="0">
                  <c:v>0.20350000000000001</c:v>
                </c:pt>
                <c:pt idx="1">
                  <c:v>0.11000000000000001</c:v>
                </c:pt>
                <c:pt idx="2">
                  <c:v>0.39550000000000002</c:v>
                </c:pt>
                <c:pt idx="3">
                  <c:v>0.39400000000000002</c:v>
                </c:pt>
                <c:pt idx="4">
                  <c:v>0.32950000000000002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583C-4E24-A404-2FCD5B8C55C7}"/>
            </c:ext>
          </c:extLst>
        </c:ser>
        <c:ser>
          <c:idx val="10"/>
          <c:order val="10"/>
          <c:tx>
            <c:strRef>
              <c:f>'PS5.04_Ind01'!$B$22</c:f>
              <c:strCache>
                <c:ptCount val="1"/>
                <c:pt idx="0">
                  <c:v>Nanociència i Nanotecnologia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'PS5.04_Ind01'!$E$22:$I$22</c:f>
              <c:numCache>
                <c:formatCode>0.00%</c:formatCode>
                <c:ptCount val="5"/>
                <c:pt idx="0">
                  <c:v>0.14000000000000001</c:v>
                </c:pt>
                <c:pt idx="1">
                  <c:v>6.0999999999999999E-2</c:v>
                </c:pt>
                <c:pt idx="2">
                  <c:v>0.26</c:v>
                </c:pt>
                <c:pt idx="3">
                  <c:v>0.17749999999999999</c:v>
                </c:pt>
                <c:pt idx="4">
                  <c:v>0.24099999999999999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583C-4E24-A404-2FCD5B8C55C7}"/>
            </c:ext>
          </c:extLst>
        </c:ser>
        <c:ser>
          <c:idx val="11"/>
          <c:order val="11"/>
          <c:tx>
            <c:strRef>
              <c:f>'PS5.04_Ind01'!$B$23</c:f>
              <c:strCache>
                <c:ptCount val="1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solidFill>
              <a:srgbClr val="FF7C8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'PS5.04_Ind01'!$E$23:$I$23</c:f>
              <c:numCache>
                <c:formatCode>0.00%</c:formatCode>
                <c:ptCount val="5"/>
                <c:pt idx="0">
                  <c:v>0.13700000000000001</c:v>
                </c:pt>
                <c:pt idx="1">
                  <c:v>6.1499999999999999E-2</c:v>
                </c:pt>
                <c:pt idx="2">
                  <c:v>0.17749999999999999</c:v>
                </c:pt>
                <c:pt idx="3">
                  <c:v>0.19850000000000001</c:v>
                </c:pt>
                <c:pt idx="4">
                  <c:v>0.24149999999999999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583C-4E24-A404-2FCD5B8C55C7}"/>
            </c:ext>
          </c:extLst>
        </c:ser>
        <c:ser>
          <c:idx val="12"/>
          <c:order val="12"/>
          <c:tx>
            <c:strRef>
              <c:f>'PS5.04_Ind01'!$B$24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'PS5.04_Ind01'!$E$24:$I$24</c:f>
              <c:numCache>
                <c:formatCode>0.00%</c:formatCode>
                <c:ptCount val="5"/>
                <c:pt idx="0">
                  <c:v>0.2</c:v>
                </c:pt>
                <c:pt idx="1">
                  <c:v>0.1111</c:v>
                </c:pt>
                <c:pt idx="2">
                  <c:v>8.4499999999999992E-2</c:v>
                </c:pt>
                <c:pt idx="3">
                  <c:v>0.10299999999999999</c:v>
                </c:pt>
                <c:pt idx="4">
                  <c:v>0.17050000000000001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3C-4E24-A404-2FCD5B8C55C7}"/>
            </c:ext>
          </c:extLst>
        </c:ser>
        <c:ser>
          <c:idx val="13"/>
          <c:order val="13"/>
          <c:tx>
            <c:strRef>
              <c:f>'PS5.04_Ind01'!$B$25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'PS5.04_Ind01'!$E$25:$I$25</c:f>
              <c:numCache>
                <c:formatCode>0.00%</c:formatCode>
                <c:ptCount val="5"/>
                <c:pt idx="0">
                  <c:v>0.25649999999999995</c:v>
                </c:pt>
                <c:pt idx="1">
                  <c:v>6.6699999999999995E-2</c:v>
                </c:pt>
                <c:pt idx="2">
                  <c:v>0.222</c:v>
                </c:pt>
                <c:pt idx="3">
                  <c:v>0.13300000000000001</c:v>
                </c:pt>
                <c:pt idx="4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3C-4E24-A404-2FCD5B8C55C7}"/>
            </c:ext>
          </c:extLst>
        </c:ser>
        <c:ser>
          <c:idx val="14"/>
          <c:order val="14"/>
          <c:tx>
            <c:strRef>
              <c:f>'PS5.04_Ind01'!$B$26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'PS5.04_Ind01'!$E$26:$I$26</c:f>
              <c:numCache>
                <c:formatCode>0.00%</c:formatCode>
                <c:ptCount val="5"/>
                <c:pt idx="0">
                  <c:v>0.3165</c:v>
                </c:pt>
                <c:pt idx="1">
                  <c:v>0.5625</c:v>
                </c:pt>
                <c:pt idx="2">
                  <c:v>0.84499999999999997</c:v>
                </c:pt>
                <c:pt idx="3">
                  <c:v>0.34599999999999997</c:v>
                </c:pt>
                <c:pt idx="4">
                  <c:v>0.308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3C-4E24-A404-2FCD5B8C55C7}"/>
            </c:ext>
          </c:extLst>
        </c:ser>
        <c:ser>
          <c:idx val="15"/>
          <c:order val="15"/>
          <c:tx>
            <c:strRef>
              <c:f>'PS5.04_Ind01'!$B$27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solidFill>
              <a:srgbClr val="9900C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'PS5.04_Ind01'!$E$27:$I$27</c:f>
              <c:numCache>
                <c:formatCode>0.00%</c:formatCode>
                <c:ptCount val="5"/>
                <c:pt idx="0">
                  <c:v>5.5E-2</c:v>
                </c:pt>
                <c:pt idx="1">
                  <c:v>3.1300000000000001E-2</c:v>
                </c:pt>
                <c:pt idx="2">
                  <c:v>0.14899999999999999</c:v>
                </c:pt>
                <c:pt idx="3">
                  <c:v>0.13400000000000001</c:v>
                </c:pt>
                <c:pt idx="4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83C-4E24-A404-2FCD5B8C55C7}"/>
            </c:ext>
          </c:extLst>
        </c:ser>
        <c:ser>
          <c:idx val="16"/>
          <c:order val="16"/>
          <c:tx>
            <c:strRef>
              <c:f>'PS5.04_Ind01'!$B$28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'PS5.04_Ind01'!$E$28:$I$28</c:f>
              <c:numCache>
                <c:formatCode>0.00%</c:formatCode>
                <c:ptCount val="5"/>
                <c:pt idx="0">
                  <c:v>0.29600000000000004</c:v>
                </c:pt>
                <c:pt idx="1">
                  <c:v>0.17649999999999999</c:v>
                </c:pt>
                <c:pt idx="2">
                  <c:v>0.54500000000000004</c:v>
                </c:pt>
                <c:pt idx="3">
                  <c:v>0.33300000000000002</c:v>
                </c:pt>
                <c:pt idx="4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83C-4E24-A404-2FCD5B8C55C7}"/>
            </c:ext>
          </c:extLst>
        </c:ser>
        <c:ser>
          <c:idx val="17"/>
          <c:order val="17"/>
          <c:tx>
            <c:strRef>
              <c:f>'PS5.04_Ind01'!$B$29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'PS5.04_Ind01'!$E$30:$I$30</c:f>
              <c:numCache>
                <c:formatCode>0.00%</c:formatCode>
                <c:ptCount val="5"/>
                <c:pt idx="0">
                  <c:v>0.25</c:v>
                </c:pt>
                <c:pt idx="1">
                  <c:v>6.9800000000000001E-2</c:v>
                </c:pt>
                <c:pt idx="2">
                  <c:v>6.0999999999999999E-2</c:v>
                </c:pt>
                <c:pt idx="3">
                  <c:v>0.21099999999999999</c:v>
                </c:pt>
                <c:pt idx="4">
                  <c:v>0.72399999999999998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83C-4E24-A404-2FCD5B8C55C7}"/>
            </c:ext>
          </c:extLst>
        </c:ser>
        <c:ser>
          <c:idx val="18"/>
          <c:order val="18"/>
          <c:tx>
            <c:strRef>
              <c:f>'PS5.04_Ind01'!$B$30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solidFill>
              <a:srgbClr val="66006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'PS5.04_Ind01'!$E$30:$I$30</c:f>
              <c:numCache>
                <c:formatCode>0.00%</c:formatCode>
                <c:ptCount val="5"/>
                <c:pt idx="0">
                  <c:v>0.25</c:v>
                </c:pt>
                <c:pt idx="1">
                  <c:v>6.9800000000000001E-2</c:v>
                </c:pt>
                <c:pt idx="2">
                  <c:v>6.0999999999999999E-2</c:v>
                </c:pt>
                <c:pt idx="3">
                  <c:v>0.21099999999999999</c:v>
                </c:pt>
                <c:pt idx="4">
                  <c:v>0.72399999999999998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83C-4E24-A404-2FCD5B8C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6062687"/>
        <c:axId val="7471171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'PS5.04_Ind01'!$E$12:$I$12</c15:sqref>
                        </c15:formulaRef>
                      </c:ext>
                    </c:extLst>
                    <c:strCache>
                      <c:ptCount val="5"/>
                      <c:pt idx="0">
                        <c:v>2018/2019</c:v>
                      </c:pt>
                      <c:pt idx="1">
                        <c:v>2019/2020</c:v>
                      </c:pt>
                      <c:pt idx="2">
                        <c:v>2020/2021</c:v>
                      </c:pt>
                      <c:pt idx="3">
                        <c:v>2021/2022</c:v>
                      </c:pt>
                      <c:pt idx="4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'PS5.04_Ind01'!$B$9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83C-4E24-A404-2FCD5B8C55C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9"/>
          <c:order val="19"/>
          <c:tx>
            <c:strRef>
              <c:f>'PS5.04_Ind01'!$B$33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Lit>
              <c:ptCount val="4"/>
              <c:pt idx="0">
                <c:v>2018/2019</c:v>
              </c:pt>
              <c:pt idx="1">
                <c:v>2019/2020</c:v>
              </c:pt>
              <c:pt idx="2">
                <c:v>2020/2021</c:v>
              </c:pt>
              <c:pt idx="3">
                <c:v>2021/2022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'PS5.04_Ind01'!$D$33:$I$33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83C-4E24-A404-2FCD5B8C5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062687"/>
        <c:axId val="747117135"/>
      </c:lineChart>
      <c:catAx>
        <c:axId val="207606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47117135"/>
        <c:crosses val="autoZero"/>
        <c:auto val="1"/>
        <c:lblAlgn val="ctr"/>
        <c:lblOffset val="100"/>
        <c:noMultiLvlLbl val="0"/>
      </c:catAx>
      <c:valAx>
        <c:axId val="74711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606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900"/>
              <a:t>PS5.04_iND02 pERCENTATGE DE PARTICIPACIÓ A LES ENQUESTES DE SATISFACCIÓ DE ÑES ASSIGNATURES.</a:t>
            </a:r>
          </a:p>
        </c:rich>
      </c:tx>
      <c:layout>
        <c:manualLayout>
          <c:xMode val="edge"/>
          <c:yMode val="edge"/>
          <c:x val="0.115180446194225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4.3439460349587962E-2"/>
          <c:y val="0.15168685927306616"/>
          <c:w val="0.94581266683357357"/>
          <c:h val="0.523892831196659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'PS5.04_Ind02'!$B$13</c:f>
              <c:strCache>
                <c:ptCount val="1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'PS5.04_Ind02'!$D$13:$I$13</c:f>
              <c:numCache>
                <c:formatCode>0.00%</c:formatCode>
                <c:ptCount val="6"/>
                <c:pt idx="0">
                  <c:v>0.22570000000000001</c:v>
                </c:pt>
                <c:pt idx="1">
                  <c:v>0.26340000000000002</c:v>
                </c:pt>
                <c:pt idx="2">
                  <c:v>0.21440000000000001</c:v>
                </c:pt>
                <c:pt idx="3">
                  <c:v>0.1532</c:v>
                </c:pt>
                <c:pt idx="4">
                  <c:v>0.24164999999999998</c:v>
                </c:pt>
                <c:pt idx="5">
                  <c:v>0.36530000000000001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88B-4453-A21A-40956624EFC6}"/>
            </c:ext>
          </c:extLst>
        </c:ser>
        <c:ser>
          <c:idx val="2"/>
          <c:order val="2"/>
          <c:tx>
            <c:strRef>
              <c:f>'PS5.04_Ind02'!$B$14</c:f>
              <c:strCache>
                <c:ptCount val="1"/>
                <c:pt idx="0">
                  <c:v>Ciències Ambientals i Grau en 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'PS5.04_Ind02'!$D$14:$I$14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0.24709999999999999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88B-4453-A21A-40956624EFC6}"/>
            </c:ext>
          </c:extLst>
        </c:ser>
        <c:ser>
          <c:idx val="3"/>
          <c:order val="3"/>
          <c:tx>
            <c:strRef>
              <c:f>'PS5.04_Ind02'!$B$15</c:f>
              <c:strCache>
                <c:ptCount val="1"/>
                <c:pt idx="0">
                  <c:v>Estadística Aplicada   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'PS5.04_Ind02'!$D$15:$I$15</c:f>
              <c:numCache>
                <c:formatCode>0.00%</c:formatCode>
                <c:ptCount val="6"/>
                <c:pt idx="0">
                  <c:v>0.16385</c:v>
                </c:pt>
                <c:pt idx="1">
                  <c:v>0.16400000000000001</c:v>
                </c:pt>
                <c:pt idx="2">
                  <c:v>0.15620000000000001</c:v>
                </c:pt>
                <c:pt idx="3">
                  <c:v>0.1094</c:v>
                </c:pt>
                <c:pt idx="4">
                  <c:v>0.1658</c:v>
                </c:pt>
                <c:pt idx="5">
                  <c:v>0.29925000000000002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88B-4453-A21A-40956624EFC6}"/>
            </c:ext>
          </c:extLst>
        </c:ser>
        <c:ser>
          <c:idx val="4"/>
          <c:order val="4"/>
          <c:tx>
            <c:strRef>
              <c:f>'PS5.04_Ind02'!$B$16</c:f>
              <c:strCache>
                <c:ptCount val="1"/>
                <c:pt idx="0">
                  <c:v>Física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'PS5.04_Ind02'!$D$16:$I$16</c:f>
              <c:numCache>
                <c:formatCode>0.00%</c:formatCode>
                <c:ptCount val="6"/>
                <c:pt idx="0">
                  <c:v>0.25264999999999999</c:v>
                </c:pt>
                <c:pt idx="1">
                  <c:v>0.43974999999999997</c:v>
                </c:pt>
                <c:pt idx="2">
                  <c:v>0.34250000000000003</c:v>
                </c:pt>
                <c:pt idx="3">
                  <c:v>0.29139999999999999</c:v>
                </c:pt>
                <c:pt idx="4">
                  <c:v>0.32379999999999998</c:v>
                </c:pt>
                <c:pt idx="5">
                  <c:v>0.438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88B-4453-A21A-40956624EFC6}"/>
            </c:ext>
          </c:extLst>
        </c:ser>
        <c:ser>
          <c:idx val="5"/>
          <c:order val="5"/>
          <c:tx>
            <c:strRef>
              <c:f>'PS5.04_Ind02'!$B$17</c:f>
              <c:strCache>
                <c:ptCount val="1"/>
                <c:pt idx="0">
                  <c:v>Física i 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'PS5.04_Ind02'!$D$17:$I$17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0.34460000000000002</c:v>
                </c:pt>
                <c:pt idx="3">
                  <c:v>0.34875</c:v>
                </c:pt>
                <c:pt idx="4">
                  <c:v>0.52010000000000001</c:v>
                </c:pt>
                <c:pt idx="5">
                  <c:v>0.51749999999999996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88B-4453-A21A-40956624EFC6}"/>
            </c:ext>
          </c:extLst>
        </c:ser>
        <c:ser>
          <c:idx val="6"/>
          <c:order val="6"/>
          <c:tx>
            <c:strRef>
              <c:f>'PS5.04_Ind02'!$B$18</c:f>
              <c:strCache>
                <c:ptCount val="1"/>
                <c:pt idx="0">
                  <c:v>Física i 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'PS5.04_Ind02'!$D$18:$I$18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0.3523</c:v>
                </c:pt>
                <c:pt idx="3">
                  <c:v>0.4239</c:v>
                </c:pt>
                <c:pt idx="4">
                  <c:v>0.44244999999999995</c:v>
                </c:pt>
                <c:pt idx="5">
                  <c:v>0.55189999999999995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488B-4453-A21A-40956624EFC6}"/>
            </c:ext>
          </c:extLst>
        </c:ser>
        <c:ser>
          <c:idx val="7"/>
          <c:order val="7"/>
          <c:tx>
            <c:strRef>
              <c:f>'PS5.04_Ind02'!$B$19</c:f>
              <c:strCache>
                <c:ptCount val="1"/>
                <c:pt idx="0">
                  <c:v>Geologia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'PS5.04_Ind02'!$D$19:$I$19</c:f>
              <c:numCache>
                <c:formatCode>0.00%</c:formatCode>
                <c:ptCount val="6"/>
                <c:pt idx="0">
                  <c:v>0.19055</c:v>
                </c:pt>
                <c:pt idx="1">
                  <c:v>0.22810000000000002</c:v>
                </c:pt>
                <c:pt idx="2">
                  <c:v>0.29139999999999999</c:v>
                </c:pt>
                <c:pt idx="3">
                  <c:v>0.17094999999999999</c:v>
                </c:pt>
                <c:pt idx="4">
                  <c:v>0.29385</c:v>
                </c:pt>
                <c:pt idx="5">
                  <c:v>0.27894999999999998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488B-4453-A21A-40956624EFC6}"/>
            </c:ext>
          </c:extLst>
        </c:ser>
        <c:ser>
          <c:idx val="8"/>
          <c:order val="8"/>
          <c:tx>
            <c:strRef>
              <c:f>'PS5.04_Ind02'!$B$20</c:f>
              <c:strCache>
                <c:ptCount val="1"/>
                <c:pt idx="0">
                  <c:v>Matemàtica Computacional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'PS5.04_Ind02'!$D$20:$I$20</c:f>
              <c:numCache>
                <c:formatCode>0.00%</c:formatCode>
                <c:ptCount val="6"/>
                <c:pt idx="0">
                  <c:v>0</c:v>
                </c:pt>
                <c:pt idx="1">
                  <c:v>0.33935000000000004</c:v>
                </c:pt>
                <c:pt idx="2">
                  <c:v>0.4501</c:v>
                </c:pt>
                <c:pt idx="3">
                  <c:v>0.4763</c:v>
                </c:pt>
                <c:pt idx="4">
                  <c:v>0.42659999999999998</c:v>
                </c:pt>
                <c:pt idx="5">
                  <c:v>0.43109999999999998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8B-4453-A21A-40956624EFC6}"/>
            </c:ext>
          </c:extLst>
        </c:ser>
        <c:ser>
          <c:idx val="9"/>
          <c:order val="9"/>
          <c:tx>
            <c:strRef>
              <c:f>'PS5.04_Ind02'!$B$21</c:f>
              <c:strCache>
                <c:ptCount val="1"/>
                <c:pt idx="0">
                  <c:v>Matemàtiques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'PS5.04_Ind02'!$D$21:$I$21</c:f>
              <c:numCache>
                <c:formatCode>0.00%</c:formatCode>
                <c:ptCount val="6"/>
                <c:pt idx="0">
                  <c:v>0.21920000000000001</c:v>
                </c:pt>
                <c:pt idx="1">
                  <c:v>0.27295000000000003</c:v>
                </c:pt>
                <c:pt idx="2">
                  <c:v>0.34210000000000002</c:v>
                </c:pt>
                <c:pt idx="3">
                  <c:v>0.29514999999999997</c:v>
                </c:pt>
                <c:pt idx="4">
                  <c:v>0.39680000000000004</c:v>
                </c:pt>
                <c:pt idx="5">
                  <c:v>0.34470000000000001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488B-4453-A21A-40956624EFC6}"/>
            </c:ext>
          </c:extLst>
        </c:ser>
        <c:ser>
          <c:idx val="10"/>
          <c:order val="10"/>
          <c:tx>
            <c:strRef>
              <c:f>'PS5.04_Ind02'!$B$22</c:f>
              <c:strCache>
                <c:ptCount val="1"/>
                <c:pt idx="0">
                  <c:v>Nanociència i Nanotecnologia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'PS5.04_Ind02'!$D$22:$I$22</c:f>
              <c:numCache>
                <c:formatCode>0.00%</c:formatCode>
                <c:ptCount val="6"/>
                <c:pt idx="0">
                  <c:v>0.18454999999999999</c:v>
                </c:pt>
                <c:pt idx="1">
                  <c:v>0.23029999999999998</c:v>
                </c:pt>
                <c:pt idx="2">
                  <c:v>0.29389999999999999</c:v>
                </c:pt>
                <c:pt idx="3">
                  <c:v>0.2034</c:v>
                </c:pt>
                <c:pt idx="4">
                  <c:v>0.16439999999999999</c:v>
                </c:pt>
                <c:pt idx="5">
                  <c:v>0.27515000000000001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488B-4453-A21A-40956624EFC6}"/>
            </c:ext>
          </c:extLst>
        </c:ser>
        <c:ser>
          <c:idx val="11"/>
          <c:order val="11"/>
          <c:tx>
            <c:strRef>
              <c:f>'PS5.04_Ind02'!$B$23</c:f>
              <c:strCache>
                <c:ptCount val="1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'PS5.04_Ind02'!$D$23:$I$23</c:f>
              <c:numCache>
                <c:formatCode>0.00%</c:formatCode>
                <c:ptCount val="6"/>
                <c:pt idx="0">
                  <c:v>0.23799999999999999</c:v>
                </c:pt>
                <c:pt idx="1">
                  <c:v>0.35899999999999999</c:v>
                </c:pt>
                <c:pt idx="2">
                  <c:v>0.34329999999999999</c:v>
                </c:pt>
                <c:pt idx="3">
                  <c:v>0.17494999999999999</c:v>
                </c:pt>
                <c:pt idx="4">
                  <c:v>0.18764999999999998</c:v>
                </c:pt>
                <c:pt idx="5">
                  <c:v>0.24049999999999999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488B-4453-A21A-40956624EFC6}"/>
            </c:ext>
          </c:extLst>
        </c:ser>
        <c:ser>
          <c:idx val="12"/>
          <c:order val="12"/>
          <c:tx>
            <c:strRef>
              <c:f>'PS5.04_Ind02'!$B$24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'PS5.04_Ind02'!$D$24:$I$24</c:f>
              <c:numCache>
                <c:formatCode>0.00%</c:formatCode>
                <c:ptCount val="6"/>
                <c:pt idx="0">
                  <c:v>0.11954999999999999</c:v>
                </c:pt>
                <c:pt idx="1">
                  <c:v>0.28120000000000001</c:v>
                </c:pt>
                <c:pt idx="2">
                  <c:v>0.25969999999999999</c:v>
                </c:pt>
                <c:pt idx="3">
                  <c:v>0</c:v>
                </c:pt>
                <c:pt idx="4">
                  <c:v>7.2950000000000001E-2</c:v>
                </c:pt>
                <c:pt idx="5">
                  <c:v>0.1719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8B-4453-A21A-40956624EFC6}"/>
            </c:ext>
          </c:extLst>
        </c:ser>
        <c:ser>
          <c:idx val="13"/>
          <c:order val="13"/>
          <c:tx>
            <c:strRef>
              <c:f>'PS5.04_Ind02'!$B$25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'PS5.04_Ind02'!$D$25:$I$25</c:f>
              <c:numCache>
                <c:formatCode>0.00%</c:formatCode>
                <c:ptCount val="6"/>
                <c:pt idx="0">
                  <c:v>8.6249999999999993E-2</c:v>
                </c:pt>
                <c:pt idx="1">
                  <c:v>0.42189999999999994</c:v>
                </c:pt>
                <c:pt idx="2">
                  <c:v>0.2586</c:v>
                </c:pt>
                <c:pt idx="3">
                  <c:v>0.25419999999999998</c:v>
                </c:pt>
                <c:pt idx="4">
                  <c:v>9.2500000000000013E-2</c:v>
                </c:pt>
                <c:pt idx="5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88B-4453-A21A-40956624EFC6}"/>
            </c:ext>
          </c:extLst>
        </c:ser>
        <c:ser>
          <c:idx val="14"/>
          <c:order val="14"/>
          <c:tx>
            <c:strRef>
              <c:f>'PS5.04_Ind02'!$B$26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'PS5.04_Ind02'!$D$26:$I$26</c:f>
              <c:numCache>
                <c:formatCode>0.00%</c:formatCode>
                <c:ptCount val="6"/>
                <c:pt idx="0">
                  <c:v>0.31940000000000002</c:v>
                </c:pt>
                <c:pt idx="1">
                  <c:v>0.34714999999999996</c:v>
                </c:pt>
                <c:pt idx="2">
                  <c:v>0.5625</c:v>
                </c:pt>
                <c:pt idx="3">
                  <c:v>0.74534999999999996</c:v>
                </c:pt>
                <c:pt idx="4">
                  <c:v>0.22320000000000001</c:v>
                </c:pt>
                <c:pt idx="5">
                  <c:v>0.38740000000000002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8B-4453-A21A-40956624EFC6}"/>
            </c:ext>
          </c:extLst>
        </c:ser>
        <c:ser>
          <c:idx val="15"/>
          <c:order val="15"/>
          <c:tx>
            <c:strRef>
              <c:f>'PS5.04_Ind02'!$B$27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'PS5.04_Ind02'!$D$27:$I$27</c:f>
              <c:numCache>
                <c:formatCode>0.00%</c:formatCode>
                <c:ptCount val="6"/>
                <c:pt idx="0">
                  <c:v>7.5249999999999997E-2</c:v>
                </c:pt>
                <c:pt idx="1">
                  <c:v>0.11804999999999999</c:v>
                </c:pt>
                <c:pt idx="2">
                  <c:v>0.15529999999999999</c:v>
                </c:pt>
                <c:pt idx="3">
                  <c:v>0.15609999999999999</c:v>
                </c:pt>
                <c:pt idx="4">
                  <c:v>0.10580000000000001</c:v>
                </c:pt>
                <c:pt idx="5">
                  <c:v>5.645E-2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88B-4453-A21A-40956624EFC6}"/>
            </c:ext>
          </c:extLst>
        </c:ser>
        <c:ser>
          <c:idx val="16"/>
          <c:order val="16"/>
          <c:tx>
            <c:strRef>
              <c:f>'PS5.04_Ind02'!$B$28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'PS5.04_Ind02'!$D$28:$I$28</c:f>
              <c:numCache>
                <c:formatCode>0.00%</c:formatCode>
                <c:ptCount val="6"/>
                <c:pt idx="0">
                  <c:v>9.0899999999999995E-2</c:v>
                </c:pt>
                <c:pt idx="1">
                  <c:v>0.35299999999999998</c:v>
                </c:pt>
                <c:pt idx="2" formatCode="0%">
                  <c:v>0.4</c:v>
                </c:pt>
                <c:pt idx="3" formatCode="General">
                  <c:v>0</c:v>
                </c:pt>
                <c:pt idx="4">
                  <c:v>0.26649999999999996</c:v>
                </c:pt>
                <c:pt idx="5">
                  <c:v>0.43940000000000001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B-4453-A21A-40956624EFC6}"/>
            </c:ext>
          </c:extLst>
        </c:ser>
        <c:ser>
          <c:idx val="17"/>
          <c:order val="17"/>
          <c:tx>
            <c:strRef>
              <c:f>'PS5.04_Ind02'!$B$29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'PS5.04_Ind02'!$D$29:$I$29</c:f>
              <c:numCache>
                <c:formatCode>0.00%</c:formatCode>
                <c:ptCount val="6"/>
                <c:pt idx="0">
                  <c:v>0.1</c:v>
                </c:pt>
                <c:pt idx="1">
                  <c:v>0.65</c:v>
                </c:pt>
                <c:pt idx="2">
                  <c:v>0.92310000000000003</c:v>
                </c:pt>
                <c:pt idx="3" formatCode="General">
                  <c:v>0</c:v>
                </c:pt>
                <c:pt idx="4">
                  <c:v>0</c:v>
                </c:pt>
                <c:pt idx="5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88B-4453-A21A-40956624EFC6}"/>
            </c:ext>
          </c:extLst>
        </c:ser>
        <c:ser>
          <c:idx val="18"/>
          <c:order val="18"/>
          <c:tx>
            <c:strRef>
              <c:f>'PS5.04_Ind02'!$B$30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'PS5.04_Ind02'!$E$12:$I$12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'PS5.04_Ind02'!$D$30:$I$30</c:f>
              <c:numCache>
                <c:formatCode>0.00%</c:formatCode>
                <c:ptCount val="6"/>
                <c:pt idx="0">
                  <c:v>0.15934999999999999</c:v>
                </c:pt>
                <c:pt idx="1">
                  <c:v>0.20474999999999999</c:v>
                </c:pt>
                <c:pt idx="2">
                  <c:v>0.1275</c:v>
                </c:pt>
                <c:pt idx="3">
                  <c:v>2.3400000000000001E-2</c:v>
                </c:pt>
                <c:pt idx="4">
                  <c:v>4.9599999999999998E-2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88B-4453-A21A-40956624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7054607"/>
        <c:axId val="12270666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'PS5.04_Ind02'!$E$12:$I$12</c15:sqref>
                        </c15:formulaRef>
                      </c:ext>
                    </c:extLst>
                    <c:strCache>
                      <c:ptCount val="5"/>
                      <c:pt idx="0">
                        <c:v>2018/2019</c:v>
                      </c:pt>
                      <c:pt idx="1">
                        <c:v>2019/2020</c:v>
                      </c:pt>
                      <c:pt idx="2">
                        <c:v>2020/2021</c:v>
                      </c:pt>
                      <c:pt idx="3">
                        <c:v>2021/2022</c:v>
                      </c:pt>
                      <c:pt idx="4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'PS5.04_Ind02'!$D$4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8B-4453-A21A-40956624EFC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9"/>
          <c:order val="19"/>
          <c:tx>
            <c:strRef>
              <c:f>'PS5.04_Ind02'!$B$33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'PS5.04_Ind02'!$E$12:$H$12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  <c:extLst/>
            </c:strRef>
          </c:cat>
          <c:val>
            <c:numRef>
              <c:f>'PS5.04_Ind02'!$D$33:$I$33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88B-4453-A21A-40956624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54607"/>
        <c:axId val="1227066671"/>
      </c:lineChart>
      <c:catAx>
        <c:axId val="1227054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7066671"/>
        <c:crosses val="autoZero"/>
        <c:auto val="1"/>
        <c:lblAlgn val="ctr"/>
        <c:lblOffset val="100"/>
        <c:noMultiLvlLbl val="0"/>
      </c:catAx>
      <c:valAx>
        <c:axId val="122706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705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54261242423065E-2"/>
          <c:y val="0.73142312010625887"/>
          <c:w val="0.92813495491746933"/>
          <c:h val="0.24993755090958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PS5.04_Ind03. Valoració mitjana de l’afirmació “Estic satisfet/a amb la titulació” a les enquestes de satisfacció de la UAB.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'PS5.04_Ind03'!$B$36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'PS5.04_Ind03'!$C$36:$E$36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D4E-429E-9100-D5691AEFC1B4}"/>
            </c:ext>
          </c:extLst>
        </c:ser>
        <c:ser>
          <c:idx val="1"/>
          <c:order val="1"/>
          <c:tx>
            <c:strRef>
              <c:f>'PS5.04_Ind03'!$B$13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'PS5.04_Ind03'!$D$13:$H$13</c:f>
              <c:numCache>
                <c:formatCode>General</c:formatCode>
                <c:ptCount val="5"/>
                <c:pt idx="0">
                  <c:v>4.18</c:v>
                </c:pt>
                <c:pt idx="1">
                  <c:v>0</c:v>
                </c:pt>
                <c:pt idx="2">
                  <c:v>3.75</c:v>
                </c:pt>
                <c:pt idx="3">
                  <c:v>4.2</c:v>
                </c:pt>
                <c:pt idx="4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E-429E-9100-D5691AEFC1B4}"/>
            </c:ext>
          </c:extLst>
        </c:ser>
        <c:ser>
          <c:idx val="2"/>
          <c:order val="2"/>
          <c:tx>
            <c:strRef>
              <c:f>'PS5.04_Ind03'!$B$14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3.8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E-429E-9100-D5691AEFC1B4}"/>
            </c:ext>
          </c:extLst>
        </c:ser>
        <c:ser>
          <c:idx val="3"/>
          <c:order val="3"/>
          <c:tx>
            <c:strRef>
              <c:f>'PS5.04_Ind03'!$B$15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'PS5.04_Ind03'!$D$15:$H$15</c:f>
              <c:numCache>
                <c:formatCode>General</c:formatCode>
                <c:ptCount val="5"/>
                <c:pt idx="0">
                  <c:v>0</c:v>
                </c:pt>
                <c:pt idx="1">
                  <c:v>4.2</c:v>
                </c:pt>
                <c:pt idx="2">
                  <c:v>4.4000000000000004</c:v>
                </c:pt>
                <c:pt idx="3">
                  <c:v>3.5</c:v>
                </c:pt>
                <c:pt idx="4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E-429E-9100-D5691AEFC1B4}"/>
            </c:ext>
          </c:extLst>
        </c:ser>
        <c:ser>
          <c:idx val="4"/>
          <c:order val="4"/>
          <c:tx>
            <c:strRef>
              <c:f>'PS5.04_Ind03'!$B$16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'PS5.04_Ind03'!$D$16:$H$16</c:f>
              <c:numCache>
                <c:formatCode>General</c:formatCode>
                <c:ptCount val="5"/>
                <c:pt idx="0">
                  <c:v>3.44</c:v>
                </c:pt>
                <c:pt idx="1">
                  <c:v>3.48</c:v>
                </c:pt>
                <c:pt idx="2">
                  <c:v>3.77</c:v>
                </c:pt>
                <c:pt idx="3">
                  <c:v>3.33</c:v>
                </c:pt>
                <c:pt idx="4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4E-429E-9100-D5691AEFC1B4}"/>
            </c:ext>
          </c:extLst>
        </c:ser>
        <c:ser>
          <c:idx val="5"/>
          <c:order val="5"/>
          <c:tx>
            <c:strRef>
              <c:f>'PS5.04_Ind03'!$B$17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4E-429E-9100-D5691AEFC1B4}"/>
            </c:ext>
          </c:extLst>
        </c:ser>
        <c:ser>
          <c:idx val="6"/>
          <c:order val="6"/>
          <c:tx>
            <c:strRef>
              <c:f>'PS5.04_Ind03'!$B$18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'PS5.04_Ind03'!$D$18:$H$18</c:f>
              <c:numCache>
                <c:formatCode>General</c:formatCode>
                <c:ptCount val="5"/>
                <c:pt idx="0">
                  <c:v>3</c:v>
                </c:pt>
                <c:pt idx="1">
                  <c:v>4.1399999999999997</c:v>
                </c:pt>
                <c:pt idx="2">
                  <c:v>0</c:v>
                </c:pt>
                <c:pt idx="3">
                  <c:v>3.75</c:v>
                </c:pt>
                <c:pt idx="4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4E-429E-9100-D5691AEFC1B4}"/>
            </c:ext>
          </c:extLst>
        </c:ser>
        <c:ser>
          <c:idx val="7"/>
          <c:order val="7"/>
          <c:tx>
            <c:strRef>
              <c:f>'PS5.04_Ind03'!$B$19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'PS5.04_Ind03'!$D$19:$H$19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E-429E-9100-D5691AEFC1B4}"/>
            </c:ext>
          </c:extLst>
        </c:ser>
        <c:ser>
          <c:idx val="8"/>
          <c:order val="8"/>
          <c:tx>
            <c:strRef>
              <c:f>'PS5.04_Ind03'!$B$21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'PS5.04_Ind03'!$D$21:$H$21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3.93</c:v>
                </c:pt>
                <c:pt idx="2">
                  <c:v>3.64</c:v>
                </c:pt>
                <c:pt idx="3">
                  <c:v>3.2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4E-429E-9100-D5691AEFC1B4}"/>
            </c:ext>
          </c:extLst>
        </c:ser>
        <c:ser>
          <c:idx val="9"/>
          <c:order val="9"/>
          <c:tx>
            <c:strRef>
              <c:f>'PS5.04_Ind03'!$B$20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4E-429E-9100-D5691AEFC1B4}"/>
            </c:ext>
          </c:extLst>
        </c:ser>
        <c:ser>
          <c:idx val="10"/>
          <c:order val="10"/>
          <c:tx>
            <c:strRef>
              <c:f>'PS5.04_Ind03'!$B$22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'PS5.04_Ind03'!$D$22:$H$22</c:f>
              <c:numCache>
                <c:formatCode>General</c:formatCode>
                <c:ptCount val="5"/>
                <c:pt idx="0">
                  <c:v>3.82</c:v>
                </c:pt>
                <c:pt idx="1">
                  <c:v>3.67</c:v>
                </c:pt>
                <c:pt idx="2">
                  <c:v>4.07</c:v>
                </c:pt>
                <c:pt idx="3">
                  <c:v>3</c:v>
                </c:pt>
                <c:pt idx="4">
                  <c:v>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4E-429E-9100-D5691AEFC1B4}"/>
            </c:ext>
          </c:extLst>
        </c:ser>
        <c:ser>
          <c:idx val="11"/>
          <c:order val="11"/>
          <c:tx>
            <c:strRef>
              <c:f>'PS5.04_Ind03'!$B$23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'PS5.04_Ind03'!$D$23:$H$23</c:f>
              <c:numCache>
                <c:formatCode>General</c:formatCode>
                <c:ptCount val="5"/>
                <c:pt idx="0">
                  <c:v>3.58</c:v>
                </c:pt>
                <c:pt idx="1">
                  <c:v>3.74</c:v>
                </c:pt>
                <c:pt idx="2">
                  <c:v>3.17</c:v>
                </c:pt>
                <c:pt idx="3">
                  <c:v>4.75</c:v>
                </c:pt>
                <c:pt idx="4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4E-429E-9100-D5691AEFC1B4}"/>
            </c:ext>
          </c:extLst>
        </c:ser>
        <c:ser>
          <c:idx val="12"/>
          <c:order val="12"/>
          <c:tx>
            <c:strRef>
              <c:f>'PS5.04_Ind03'!$B$24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'PS5.04_Ind03'!$D$24:$H$24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3.33</c:v>
                </c:pt>
                <c:pt idx="3">
                  <c:v>0</c:v>
                </c:pt>
                <c:pt idx="4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4E-429E-9100-D5691AEFC1B4}"/>
            </c:ext>
          </c:extLst>
        </c:ser>
        <c:ser>
          <c:idx val="13"/>
          <c:order val="13"/>
          <c:tx>
            <c:strRef>
              <c:f>'PS5.04_Ind03'!$B$25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'PS5.04_Ind03'!$D$25:$H$25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4E-429E-9100-D5691AEFC1B4}"/>
            </c:ext>
          </c:extLst>
        </c:ser>
        <c:ser>
          <c:idx val="14"/>
          <c:order val="14"/>
          <c:tx>
            <c:strRef>
              <c:f>'PS5.04_Ind03'!$B$26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'PS5.04_Ind03'!$D$26:$H$26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4.22</c:v>
                </c:pt>
                <c:pt idx="3">
                  <c:v>0</c:v>
                </c:pt>
                <c:pt idx="4">
                  <c:v>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4E-429E-9100-D5691AEFC1B4}"/>
            </c:ext>
          </c:extLst>
        </c:ser>
        <c:ser>
          <c:idx val="15"/>
          <c:order val="15"/>
          <c:tx>
            <c:strRef>
              <c:f>'PS5.04_Ind03'!$B$27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'PS5.04_Ind03'!$D$27:$H$27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4E-429E-9100-D5691AEFC1B4}"/>
            </c:ext>
          </c:extLst>
        </c:ser>
        <c:ser>
          <c:idx val="16"/>
          <c:order val="16"/>
          <c:tx>
            <c:strRef>
              <c:f>'PS5.04_Ind03'!$B$28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'PS5.04_Ind03'!$D$28:$H$28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4E-429E-9100-D5691AEFC1B4}"/>
            </c:ext>
          </c:extLst>
        </c:ser>
        <c:ser>
          <c:idx val="17"/>
          <c:order val="17"/>
          <c:tx>
            <c:strRef>
              <c:f>'PS5.04_Ind03'!$B$29</c:f>
              <c:strCache>
                <c:ptCount val="1"/>
                <c:pt idx="0">
                  <c:v>Paleobiologia i Registre Fòssil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'PS5.04_Ind03'!$D$29:$H$29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D4E-429E-9100-D5691AEFC1B4}"/>
            </c:ext>
          </c:extLst>
        </c:ser>
        <c:ser>
          <c:idx val="18"/>
          <c:order val="18"/>
          <c:tx>
            <c:strRef>
              <c:f>'PS5.04_Ind03'!$B$30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'PS5.04_Ind03'!$D$30:$H$30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D4E-429E-9100-D5691AEFC1B4}"/>
            </c:ext>
          </c:extLst>
        </c:ser>
        <c:ser>
          <c:idx val="19"/>
          <c:order val="19"/>
          <c:tx>
            <c:strRef>
              <c:f>'PS5.04_Ind03'!$B$33</c:f>
              <c:strCache>
                <c:ptCount val="1"/>
                <c:pt idx="0">
                  <c:v>Valor objectiu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'PS5.04_Ind03'!$D$12:$H$12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'PS5.04_Ind03'!$D$33:$H$33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4E-429E-9100-D5691AEF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18215824"/>
        <c:axId val="1550379744"/>
      </c:barChart>
      <c:catAx>
        <c:axId val="17182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379744"/>
        <c:crosses val="autoZero"/>
        <c:auto val="1"/>
        <c:lblAlgn val="ctr"/>
        <c:lblOffset val="100"/>
        <c:noMultiLvlLbl val="0"/>
      </c:catAx>
      <c:valAx>
        <c:axId val="155037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182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/>
              <a:t>PE1.02_Ind03</a:t>
            </a:r>
            <a:r>
              <a:rPr lang="ca-ES" sz="1200" baseline="0"/>
              <a:t>  Distribució per categories del personal de Gestió de qualitat a la Facultat de Ciències.</a:t>
            </a:r>
            <a:endParaRPr lang="ca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'PE1.02_Ind03'!$B$12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'PE1.02_Ind03'!$C$12:$G$12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'PE1.02_Ind03'!$C$12:$F$12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5-4322-A9C6-F7E25B9949B5}"/>
            </c:ext>
          </c:extLst>
        </c:ser>
        <c:ser>
          <c:idx val="1"/>
          <c:order val="1"/>
          <c:tx>
            <c:strRef>
              <c:f>'PE1.02_Ind03'!$A$13:$B$13</c:f>
              <c:strCache>
                <c:ptCount val="2"/>
                <c:pt idx="0">
                  <c:v>Valor real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'PE1.02_Ind03'!$C$12:$G$12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'PE1.02_Ind03'!$C$13:$G$13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5-4322-A9C6-F7E25B994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4617023"/>
        <c:axId val="646314943"/>
      </c:barChart>
      <c:lineChart>
        <c:grouping val="standard"/>
        <c:varyColors val="0"/>
        <c:ser>
          <c:idx val="2"/>
          <c:order val="2"/>
          <c:tx>
            <c:strRef>
              <c:f>'PE1.02_Ind03'!$A$14:$B$14</c:f>
              <c:strCache>
                <c:ptCount val="2"/>
                <c:pt idx="0">
                  <c:v>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'PE1.02_Ind03'!$C$12:$F$12</c:f>
              <c:strCache>
                <c:ptCount val="4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</c:strCache>
            </c:strRef>
          </c:cat>
          <c:val>
            <c:numRef>
              <c:f>'PE1.02_Ind03'!$C$14:$G$14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5-4322-A9C6-F7E25B994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617023"/>
        <c:axId val="646314943"/>
      </c:lineChart>
      <c:catAx>
        <c:axId val="81461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46314943"/>
        <c:crosses val="autoZero"/>
        <c:auto val="1"/>
        <c:lblAlgn val="ctr"/>
        <c:lblOffset val="100"/>
        <c:noMultiLvlLbl val="0"/>
      </c:catAx>
      <c:valAx>
        <c:axId val="64631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617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PS5.04_Ind04. Percentatge de respostes de l’afirmació “Tornaria a triar la mateixa titulació” a les enquestes de satisfacció de la UAB.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'PS5.04_Ind04'!$B$40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'PS5.04_Ind04'!$C$40:$E$40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995-40D7-A64E-EF3144EA8734}"/>
            </c:ext>
          </c:extLst>
        </c:ser>
        <c:ser>
          <c:idx val="1"/>
          <c:order val="1"/>
          <c:tx>
            <c:strRef>
              <c:f>'PS5.04_Ind04'!$B$13</c:f>
              <c:strCache>
                <c:ptCount val="1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'PS5.04_Ind04'!$D$13:$H$13</c:f>
              <c:numCache>
                <c:formatCode>General</c:formatCode>
                <c:ptCount val="5"/>
                <c:pt idx="0" formatCode="0.00%">
                  <c:v>0.63639999999999997</c:v>
                </c:pt>
                <c:pt idx="1">
                  <c:v>0</c:v>
                </c:pt>
                <c:pt idx="2" formatCode="0.00%">
                  <c:v>0.625</c:v>
                </c:pt>
                <c:pt idx="3" formatCode="0.00%">
                  <c:v>0.8</c:v>
                </c:pt>
                <c:pt idx="4" formatCode="0.00%">
                  <c:v>0.88239999999999996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5-40D7-A64E-EF3144EA8734}"/>
            </c:ext>
          </c:extLst>
        </c:ser>
        <c:ser>
          <c:idx val="2"/>
          <c:order val="2"/>
          <c:tx>
            <c:strRef>
              <c:f>'PS5.04_Ind04'!$B$14</c:f>
              <c:strCache>
                <c:ptCount val="1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0.8</c:v>
                </c:pt>
                <c:pt idx="3" formatCode="0.00%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5-40D7-A64E-EF3144EA8734}"/>
            </c:ext>
          </c:extLst>
        </c:ser>
        <c:ser>
          <c:idx val="3"/>
          <c:order val="3"/>
          <c:tx>
            <c:strRef>
              <c:f>'PS5.04_Ind04'!$B$15</c:f>
              <c:strCache>
                <c:ptCount val="1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'PS5.04_Ind04'!$D$15:$H$15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1</c:v>
                </c:pt>
                <c:pt idx="2" formatCode="0.00%">
                  <c:v>0.66669999999999996</c:v>
                </c:pt>
                <c:pt idx="3" formatCode="0.00%">
                  <c:v>0.5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5-40D7-A64E-EF3144EA8734}"/>
            </c:ext>
          </c:extLst>
        </c:ser>
        <c:ser>
          <c:idx val="4"/>
          <c:order val="4"/>
          <c:tx>
            <c:strRef>
              <c:f>'PS5.04_Ind04'!$B$16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'PS5.04_Ind04'!$D$16:$H$16</c:f>
              <c:numCache>
                <c:formatCode>0.00%</c:formatCode>
                <c:ptCount val="5"/>
                <c:pt idx="0">
                  <c:v>0.77780000000000005</c:v>
                </c:pt>
                <c:pt idx="1">
                  <c:v>0.85709999999999997</c:v>
                </c:pt>
                <c:pt idx="2">
                  <c:v>0.69230000000000003</c:v>
                </c:pt>
                <c:pt idx="3">
                  <c:v>0.66669999999999996</c:v>
                </c:pt>
                <c:pt idx="4" formatCode="General">
                  <c:v>57.14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95-40D7-A64E-EF3144EA8734}"/>
            </c:ext>
          </c:extLst>
        </c:ser>
        <c:ser>
          <c:idx val="5"/>
          <c:order val="5"/>
          <c:tx>
            <c:strRef>
              <c:f>'PS5.04_Ind04'!$B$17</c:f>
              <c:strCache>
                <c:ptCount val="1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1</c:v>
                </c:pt>
                <c:pt idx="4">
                  <c:v>66.67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95-40D7-A64E-EF3144EA8734}"/>
            </c:ext>
          </c:extLst>
        </c:ser>
        <c:ser>
          <c:idx val="6"/>
          <c:order val="6"/>
          <c:tx>
            <c:strRef>
              <c:f>'PS5.04_Ind04'!$B$18</c:f>
              <c:strCache>
                <c:ptCount val="1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'PS5.04_Ind04'!$D$18:$H$18</c:f>
              <c:numCache>
                <c:formatCode>0.00%</c:formatCode>
                <c:ptCount val="5"/>
                <c:pt idx="0">
                  <c:v>0.25</c:v>
                </c:pt>
                <c:pt idx="1">
                  <c:v>0.71430000000000005</c:v>
                </c:pt>
                <c:pt idx="2" formatCode="General">
                  <c:v>0</c:v>
                </c:pt>
                <c:pt idx="3">
                  <c:v>0.5</c:v>
                </c:pt>
                <c:pt idx="4" formatCode="General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95-40D7-A64E-EF3144EA8734}"/>
            </c:ext>
          </c:extLst>
        </c:ser>
        <c:ser>
          <c:idx val="7"/>
          <c:order val="7"/>
          <c:tx>
            <c:strRef>
              <c:f>'PS5.04_Ind04'!$B$19</c:f>
              <c:strCache>
                <c:ptCount val="1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'PS5.04_Ind04'!$D$19:$H$19</c:f>
              <c:numCache>
                <c:formatCode>General</c:formatCode>
                <c:ptCount val="5"/>
                <c:pt idx="0" formatCode="0.00%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0.57140000000000002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95-40D7-A64E-EF3144EA8734}"/>
            </c:ext>
          </c:extLst>
        </c:ser>
        <c:ser>
          <c:idx val="8"/>
          <c:order val="8"/>
          <c:tx>
            <c:strRef>
              <c:f>'PS5.04_Ind04'!$B$20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'PS5.04_Ind04'!$D$20:$H$20</c:f>
              <c:numCache>
                <c:formatCode>General</c:formatCode>
                <c:ptCount val="5"/>
                <c:pt idx="0" formatCode="0.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95-40D7-A64E-EF3144EA8734}"/>
            </c:ext>
          </c:extLst>
        </c:ser>
        <c:ser>
          <c:idx val="9"/>
          <c:order val="9"/>
          <c:tx>
            <c:strRef>
              <c:f>'PS5.04_Ind04'!$B$21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'PS5.04_Ind04'!$D$21:$H$21</c:f>
              <c:numCache>
                <c:formatCode>0.00%</c:formatCode>
                <c:ptCount val="5"/>
                <c:pt idx="0">
                  <c:v>1</c:v>
                </c:pt>
                <c:pt idx="1">
                  <c:v>0.64290000000000003</c:v>
                </c:pt>
                <c:pt idx="2">
                  <c:v>0.54549999999999998</c:v>
                </c:pt>
                <c:pt idx="3">
                  <c:v>0.8</c:v>
                </c:pt>
                <c:pt idx="4">
                  <c:v>0.66669999999999996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95-40D7-A64E-EF3144EA8734}"/>
            </c:ext>
          </c:extLst>
        </c:ser>
        <c:ser>
          <c:idx val="10"/>
          <c:order val="10"/>
          <c:tx>
            <c:strRef>
              <c:f>'PS5.04_Ind04'!$B$22</c:f>
              <c:strCache>
                <c:ptCount val="1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'PS5.04_Ind04'!$D$22:$H$22</c:f>
              <c:numCache>
                <c:formatCode>0.00%</c:formatCode>
                <c:ptCount val="5"/>
                <c:pt idx="0">
                  <c:v>0.63639999999999997</c:v>
                </c:pt>
                <c:pt idx="1">
                  <c:v>0.55559999999999998</c:v>
                </c:pt>
                <c:pt idx="2">
                  <c:v>0.73329999999999995</c:v>
                </c:pt>
                <c:pt idx="3">
                  <c:v>0.5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95-40D7-A64E-EF3144EA8734}"/>
            </c:ext>
          </c:extLst>
        </c:ser>
        <c:ser>
          <c:idx val="11"/>
          <c:order val="11"/>
          <c:tx>
            <c:strRef>
              <c:f>'PS5.04_Ind04'!$B$23</c:f>
              <c:strCache>
                <c:ptCount val="1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'PS5.04_Ind04'!$D$23:$H$23</c:f>
              <c:numCache>
                <c:formatCode>0.00%</c:formatCode>
                <c:ptCount val="5"/>
                <c:pt idx="0">
                  <c:v>0.5806</c:v>
                </c:pt>
                <c:pt idx="1">
                  <c:v>0.74070000000000003</c:v>
                </c:pt>
                <c:pt idx="2">
                  <c:v>0.66669999999999996</c:v>
                </c:pt>
                <c:pt idx="3">
                  <c:v>1</c:v>
                </c:pt>
                <c:pt idx="4">
                  <c:v>0.84240000000000004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95-40D7-A64E-EF3144EA8734}"/>
            </c:ext>
          </c:extLst>
        </c:ser>
        <c:ser>
          <c:idx val="12"/>
          <c:order val="12"/>
          <c:tx>
            <c:strRef>
              <c:f>'PS5.04_Ind04'!$B$24</c:f>
              <c:strCache>
                <c:ptCount val="1"/>
                <c:pt idx="0">
                  <c:v>Estudis Interdisciplinaris en Sostenibilitat Ambiental, Econòmica i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'PS5.04_Ind04'!$D$24:$H$24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0.5</c:v>
                </c:pt>
                <c:pt idx="3">
                  <c:v>0</c:v>
                </c:pt>
                <c:pt idx="4" formatCode="0.00%">
                  <c:v>0.84209999999999996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95-40D7-A64E-EF3144EA8734}"/>
            </c:ext>
          </c:extLst>
        </c:ser>
        <c:ser>
          <c:idx val="13"/>
          <c:order val="13"/>
          <c:tx>
            <c:strRef>
              <c:f>'PS5.04_Ind04'!$B$25</c:f>
              <c:strCache>
                <c:ptCount val="1"/>
                <c:pt idx="0">
                  <c:v>Física d'Altes Energies, Astrofísica i Cosmologia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'PS5.04_Ind04'!$D$25:$H$25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95-40D7-A64E-EF3144EA8734}"/>
            </c:ext>
          </c:extLst>
        </c:ser>
        <c:ser>
          <c:idx val="14"/>
          <c:order val="14"/>
          <c:tx>
            <c:strRef>
              <c:f>'PS5.04_Ind04'!$B$26</c:f>
              <c:strCache>
                <c:ptCount val="1"/>
                <c:pt idx="0">
                  <c:v>Història de la Ciència: Ciència, Història i Societat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'PS5.04_Ind04'!$D$26:$H$26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1</c:v>
                </c:pt>
                <c:pt idx="3">
                  <c:v>0</c:v>
                </c:pt>
                <c:pt idx="4" formatCode="0.00%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95-40D7-A64E-EF3144EA8734}"/>
            </c:ext>
          </c:extLst>
        </c:ser>
        <c:ser>
          <c:idx val="15"/>
          <c:order val="15"/>
          <c:tx>
            <c:strRef>
              <c:f>'PS5.04_Ind04'!$B$27</c:f>
              <c:strCache>
                <c:ptCount val="1"/>
                <c:pt idx="0">
                  <c:v>Modelització per a la Ciència i l'Enginyeria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'PS5.04_Ind04'!$D$27:$H$27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0</c:v>
                </c:pt>
                <c:pt idx="4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995-40D7-A64E-EF3144EA8734}"/>
            </c:ext>
          </c:extLst>
        </c:ser>
        <c:ser>
          <c:idx val="16"/>
          <c:order val="16"/>
          <c:tx>
            <c:strRef>
              <c:f>'PS5.04_Ind04'!$B$28</c:f>
              <c:strCache>
                <c:ptCount val="1"/>
                <c:pt idx="0">
                  <c:v>Nanociència i Nanotecnologia Avançades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'PS5.04_Ind04'!$D$28:$H$28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0</c:v>
                </c:pt>
                <c:pt idx="4" formatCode="0.00%">
                  <c:v>0.77780000000000005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95-40D7-A64E-EF3144EA8734}"/>
            </c:ext>
          </c:extLst>
        </c:ser>
        <c:ser>
          <c:idx val="17"/>
          <c:order val="17"/>
          <c:tx>
            <c:strRef>
              <c:f>'PS5.04_Ind04'!$B$30</c:f>
              <c:strCache>
                <c:ptCount val="1"/>
                <c:pt idx="0">
                  <c:v>Química Industrial i Introducció a la Recerca 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'PS5.04_Ind04'!$D$30:$H$30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%">
                  <c:v>0.33329999999999999</c:v>
                </c:pt>
                <c:pt idx="4" formatCode="0.00%">
                  <c:v>0.69230000000000003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95-40D7-A64E-EF3144EA8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97400656"/>
        <c:axId val="1550374464"/>
      </c:barChart>
      <c:lineChart>
        <c:grouping val="standard"/>
        <c:varyColors val="0"/>
        <c:ser>
          <c:idx val="18"/>
          <c:order val="18"/>
          <c:tx>
            <c:strRef>
              <c:f>'PS5.04_Ind04'!$B$33</c:f>
              <c:strCache>
                <c:ptCount val="1"/>
                <c:pt idx="0">
                  <c:v>Vaor objectriu graus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'PS5.04_Ind04'!$D$33:$H$33</c:f>
              <c:numCache>
                <c:formatCode>0.00%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995-40D7-A64E-EF3144EA8734}"/>
            </c:ext>
          </c:extLst>
        </c:ser>
        <c:ser>
          <c:idx val="19"/>
          <c:order val="19"/>
          <c:tx>
            <c:strRef>
              <c:f>'PS5.04_Ind04'!$B$36</c:f>
              <c:strCache>
                <c:ptCount val="1"/>
                <c:pt idx="0">
                  <c:v>Vaor objectriu Màsters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'PS5.04_Ind04'!$D$12:$H$12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'PS5.04_Ind04'!$D$36:$H$36</c:f>
              <c:numCache>
                <c:formatCode>0.00%</c:formatCode>
                <c:ptCount val="5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995-40D7-A64E-EF3144EA8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400656"/>
        <c:axId val="1550374464"/>
      </c:lineChart>
      <c:catAx>
        <c:axId val="169740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50374464"/>
        <c:crosses val="autoZero"/>
        <c:auto val="1"/>
        <c:lblAlgn val="ctr"/>
        <c:lblOffset val="100"/>
        <c:noMultiLvlLbl val="0"/>
      </c:catAx>
      <c:valAx>
        <c:axId val="1550374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9740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>
                <a:effectLst/>
              </a:rPr>
              <a:t>PS5.05_Ind01. Taxa d’eficàcia: percentatge de suggeriments i queixes respostes (15 dies hàbils</a:t>
            </a:r>
            <a:r>
              <a:rPr lang="ca-ES" sz="1800">
                <a:effectLst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'PS5.05_Ind01'!$B$16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'PS5.05_Ind01'!$C$16:$E$16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1BF-4885-9D83-612036371862}"/>
            </c:ext>
          </c:extLst>
        </c:ser>
        <c:ser>
          <c:idx val="1"/>
          <c:order val="1"/>
          <c:tx>
            <c:strRef>
              <c:f>'PS5.05_Ind01'!$C$12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'PS5.05_Ind01'!$D$12:$I$12</c:f>
              <c:numCache>
                <c:formatCode>0%</c:formatCode>
                <c:ptCount val="6"/>
                <c:pt idx="0">
                  <c:v>1</c:v>
                </c:pt>
                <c:pt idx="1">
                  <c:v>0.8</c:v>
                </c:pt>
                <c:pt idx="2">
                  <c:v>0.82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F-4885-9D83-61203637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00471648"/>
        <c:axId val="1680304640"/>
      </c:barChart>
      <c:lineChart>
        <c:grouping val="standard"/>
        <c:varyColors val="0"/>
        <c:ser>
          <c:idx val="2"/>
          <c:order val="2"/>
          <c:tx>
            <c:strRef>
              <c:f>'PS5.05_Ind01'!$C$14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'PS5.05_Ind01'!$D$14:$I$14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F-4885-9D83-61203637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471648"/>
        <c:axId val="1680304640"/>
      </c:lineChart>
      <c:catAx>
        <c:axId val="20004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80304640"/>
        <c:crosses val="autoZero"/>
        <c:auto val="1"/>
        <c:lblAlgn val="ctr"/>
        <c:lblOffset val="100"/>
        <c:noMultiLvlLbl val="0"/>
      </c:catAx>
      <c:valAx>
        <c:axId val="1680304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004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PS5_05-Ind-02. Temps mitjà de resposta igual o inferior a 7,5 dies hàbils de les queixes i els suggeriments (termini màxim: 15 dies hàbils)</a:t>
            </a:r>
            <a:endParaRPr lang="ca-E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'PS5.05_Ind01'!$B$16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'PS5.05_Ind01'!$D$11:$I$11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1-46CE-98FA-4F981551B434}"/>
            </c:ext>
          </c:extLst>
        </c:ser>
        <c:ser>
          <c:idx val="1"/>
          <c:order val="1"/>
          <c:tx>
            <c:strRef>
              <c:f>'PS5.05_Ind02'!$B$12</c:f>
              <c:strCache>
                <c:ptCount val="1"/>
                <c:pt idx="0">
                  <c:v>Temps mitjà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'PS5.05_Ind01'!$D$11:$I$11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'PS5.05_Ind02'!$C$12:$H$12</c:f>
              <c:numCache>
                <c:formatCode>General</c:formatCode>
                <c:ptCount val="6"/>
                <c:pt idx="0">
                  <c:v>11.19</c:v>
                </c:pt>
                <c:pt idx="1">
                  <c:v>8.0500000000000007</c:v>
                </c:pt>
                <c:pt idx="2">
                  <c:v>3.94</c:v>
                </c:pt>
                <c:pt idx="3">
                  <c:v>5.72</c:v>
                </c:pt>
                <c:pt idx="4">
                  <c:v>1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1-46CE-98FA-4F981551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00471648"/>
        <c:axId val="1680304640"/>
      </c:barChart>
      <c:lineChart>
        <c:grouping val="standard"/>
        <c:varyColors val="0"/>
        <c:ser>
          <c:idx val="2"/>
          <c:order val="2"/>
          <c:tx>
            <c:strRef>
              <c:f>'PS5.05_Ind02'!$B$13</c:f>
              <c:strCache>
                <c:ptCount val="1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'PS5.05_Ind01'!$D$11:$H$11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'PS5.05_Ind02'!$C$13:$H$13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11-46CE-98FA-4F981551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471648"/>
        <c:axId val="1680304640"/>
      </c:lineChart>
      <c:catAx>
        <c:axId val="20004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80304640"/>
        <c:crosses val="autoZero"/>
        <c:auto val="1"/>
        <c:lblAlgn val="ctr"/>
        <c:lblOffset val="100"/>
        <c:noMultiLvlLbl val="0"/>
      </c:catAx>
      <c:valAx>
        <c:axId val="168030464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0047164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000" b="1">
                <a:effectLst/>
              </a:rPr>
              <a:t>PS05_05-Ind-03. Valoració mitjana a la pregunta “He rebut resposta adequada a les meves queixes i suggeriments</a:t>
            </a:r>
            <a:r>
              <a:rPr lang="ca-ES" sz="1800" b="1">
                <a:effectLst/>
              </a:rPr>
              <a:t>”</a:t>
            </a:r>
            <a:endParaRPr lang="ca-E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'PS5.05_Ind03 '!$B$29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'!$C$29:$E$29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E05-4815-BB60-0356764533B8}"/>
            </c:ext>
          </c:extLst>
        </c:ser>
        <c:ser>
          <c:idx val="1"/>
          <c:order val="1"/>
          <c:tx>
            <c:strRef>
              <c:f>'PS5.05_Ind03 '!$B$13:$C$13</c:f>
              <c:strCache>
                <c:ptCount val="2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'!$D$13:$H$13</c:f>
              <c:numCache>
                <c:formatCode>General</c:formatCode>
                <c:ptCount val="5"/>
                <c:pt idx="0">
                  <c:v>3.27</c:v>
                </c:pt>
                <c:pt idx="1">
                  <c:v>0</c:v>
                </c:pt>
                <c:pt idx="2">
                  <c:v>3.43</c:v>
                </c:pt>
                <c:pt idx="3">
                  <c:v>3.6</c:v>
                </c:pt>
                <c:pt idx="4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5-4815-BB60-0356764533B8}"/>
            </c:ext>
          </c:extLst>
        </c:ser>
        <c:ser>
          <c:idx val="2"/>
          <c:order val="2"/>
          <c:tx>
            <c:strRef>
              <c:f>'PS5.05_Ind03 '!$B$14:$C$14</c:f>
              <c:strCache>
                <c:ptCount val="2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3</c:v>
                </c:pt>
                <c:pt idx="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5-4815-BB60-0356764533B8}"/>
            </c:ext>
          </c:extLst>
        </c:ser>
        <c:ser>
          <c:idx val="3"/>
          <c:order val="3"/>
          <c:tx>
            <c:strRef>
              <c:f>'PS5.05_Ind03 '!$B$15:$C$15</c:f>
              <c:strCache>
                <c:ptCount val="2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'!$D$15:$H$15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3.33</c:v>
                </c:pt>
                <c:pt idx="3">
                  <c:v>2</c:v>
                </c:pt>
                <c:pt idx="4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5-4815-BB60-0356764533B8}"/>
            </c:ext>
          </c:extLst>
        </c:ser>
        <c:ser>
          <c:idx val="4"/>
          <c:order val="4"/>
          <c:tx>
            <c:strRef>
              <c:f>'PS5.05_Ind03 '!$B$16:$C$16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'!$D$16:$H$16</c:f>
              <c:numCache>
                <c:formatCode>General</c:formatCode>
                <c:ptCount val="5"/>
                <c:pt idx="0">
                  <c:v>2.56</c:v>
                </c:pt>
                <c:pt idx="1">
                  <c:v>3.05</c:v>
                </c:pt>
                <c:pt idx="2">
                  <c:v>3.46</c:v>
                </c:pt>
                <c:pt idx="3">
                  <c:v>2.33</c:v>
                </c:pt>
                <c:pt idx="4">
                  <c:v>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5-4815-BB60-0356764533B8}"/>
            </c:ext>
          </c:extLst>
        </c:ser>
        <c:ser>
          <c:idx val="5"/>
          <c:order val="5"/>
          <c:tx>
            <c:strRef>
              <c:f>'PS5.05_Ind03 '!$B$17:$C$17</c:f>
              <c:strCache>
                <c:ptCount val="2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5-4815-BB60-0356764533B8}"/>
            </c:ext>
          </c:extLst>
        </c:ser>
        <c:ser>
          <c:idx val="6"/>
          <c:order val="6"/>
          <c:tx>
            <c:strRef>
              <c:f>'PS5.05_Ind03 '!$B$18:$C$18</c:f>
              <c:strCache>
                <c:ptCount val="2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'!$D$18:$H$18</c:f>
              <c:numCache>
                <c:formatCode>General</c:formatCode>
                <c:ptCount val="5"/>
                <c:pt idx="0">
                  <c:v>3.13</c:v>
                </c:pt>
                <c:pt idx="1">
                  <c:v>3</c:v>
                </c:pt>
                <c:pt idx="2">
                  <c:v>0</c:v>
                </c:pt>
                <c:pt idx="3">
                  <c:v>3.25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05-4815-BB60-0356764533B8}"/>
            </c:ext>
          </c:extLst>
        </c:ser>
        <c:ser>
          <c:idx val="7"/>
          <c:order val="7"/>
          <c:tx>
            <c:strRef>
              <c:f>'PS5.05_Ind03 '!$B$19:$C$19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'!$D$19:$H$19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05-4815-BB60-0356764533B8}"/>
            </c:ext>
          </c:extLst>
        </c:ser>
        <c:ser>
          <c:idx val="8"/>
          <c:order val="8"/>
          <c:tx>
            <c:strRef>
              <c:f>'PS5.05_Ind03 '!$B$20:$C$20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'!$D$20:$H$20</c:f>
              <c:numCache>
                <c:formatCode>General</c:formatCode>
                <c:ptCount val="5"/>
                <c:pt idx="0">
                  <c:v>3.6</c:v>
                </c:pt>
                <c:pt idx="1">
                  <c:v>3.07</c:v>
                </c:pt>
                <c:pt idx="2">
                  <c:v>3</c:v>
                </c:pt>
                <c:pt idx="3">
                  <c:v>1.8</c:v>
                </c:pt>
                <c:pt idx="4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5-4815-BB60-0356764533B8}"/>
            </c:ext>
          </c:extLst>
        </c:ser>
        <c:ser>
          <c:idx val="9"/>
          <c:order val="9"/>
          <c:tx>
            <c:strRef>
              <c:f>'PS5.05_Ind03 '!$B$21:$C$21</c:f>
              <c:strCache>
                <c:ptCount val="2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'!$D$21:$H$21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05-4815-BB60-0356764533B8}"/>
            </c:ext>
          </c:extLst>
        </c:ser>
        <c:ser>
          <c:idx val="10"/>
          <c:order val="10"/>
          <c:tx>
            <c:strRef>
              <c:f>'PS5.05_Ind03 '!$B$22:$C$22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'!$D$22:$H$22</c:f>
              <c:numCache>
                <c:formatCode>General</c:formatCode>
                <c:ptCount val="5"/>
                <c:pt idx="0">
                  <c:v>2.64</c:v>
                </c:pt>
                <c:pt idx="1">
                  <c:v>2.67</c:v>
                </c:pt>
                <c:pt idx="2">
                  <c:v>3</c:v>
                </c:pt>
                <c:pt idx="3">
                  <c:v>3</c:v>
                </c:pt>
                <c:pt idx="4">
                  <c:v>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05-4815-BB60-0356764533B8}"/>
            </c:ext>
          </c:extLst>
        </c:ser>
        <c:ser>
          <c:idx val="11"/>
          <c:order val="11"/>
          <c:tx>
            <c:strRef>
              <c:f>'PS5.05_Ind03 '!$B$23:$C$23</c:f>
              <c:strCache>
                <c:ptCount val="2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'!$D$23:$H$23</c:f>
              <c:numCache>
                <c:formatCode>General</c:formatCode>
                <c:ptCount val="5"/>
                <c:pt idx="0">
                  <c:v>2.71</c:v>
                </c:pt>
                <c:pt idx="1">
                  <c:v>2.85</c:v>
                </c:pt>
                <c:pt idx="2">
                  <c:v>2.58</c:v>
                </c:pt>
                <c:pt idx="3">
                  <c:v>3.25</c:v>
                </c:pt>
                <c:pt idx="4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05-4815-BB60-0356764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7585008"/>
        <c:axId val="1425303376"/>
      </c:barChart>
      <c:lineChart>
        <c:grouping val="standard"/>
        <c:varyColors val="0"/>
        <c:ser>
          <c:idx val="12"/>
          <c:order val="12"/>
          <c:tx>
            <c:strRef>
              <c:f>'PS5.05_Ind03 '!$B$26:$C$26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'PS5.05_Ind03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'PS5.05_Ind03 '!$D$26:$H$26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05-4815-BB60-0356764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85008"/>
        <c:axId val="1425303376"/>
      </c:lineChart>
      <c:catAx>
        <c:axId val="161758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25303376"/>
        <c:crosses val="autoZero"/>
        <c:auto val="1"/>
        <c:lblAlgn val="ctr"/>
        <c:lblOffset val="100"/>
        <c:noMultiLvlLbl val="0"/>
      </c:catAx>
      <c:valAx>
        <c:axId val="142530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1758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a-ES" sz="1200" b="1">
                <a:effectLst/>
              </a:rPr>
              <a:t>PS5.06_Ind02</a:t>
            </a:r>
            <a:r>
              <a:rPr lang="ca-ES" sz="1200">
                <a:effectLst/>
              </a:rPr>
              <a:t>. </a:t>
            </a:r>
            <a:r>
              <a:rPr lang="ca-ES" sz="1200" b="1">
                <a:effectLst/>
              </a:rPr>
              <a:t>Valoració mitjana a la pregunta: "La informació referent a la titulació al web és accessible i m’ha resultat útil".</a:t>
            </a:r>
            <a:endParaRPr lang="ca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'PS5.06_Ind01   '!$B$29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'!$C$29:$E$29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392-43AD-B635-30F8C6905D68}"/>
            </c:ext>
          </c:extLst>
        </c:ser>
        <c:ser>
          <c:idx val="1"/>
          <c:order val="1"/>
          <c:tx>
            <c:strRef>
              <c:f>'PS5.06_Ind01   '!$B$13:$C$13</c:f>
              <c:strCache>
                <c:ptCount val="2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'!$D$13:$H$13</c:f>
              <c:numCache>
                <c:formatCode>General</c:formatCode>
                <c:ptCount val="5"/>
                <c:pt idx="0">
                  <c:v>3.73</c:v>
                </c:pt>
                <c:pt idx="1">
                  <c:v>0</c:v>
                </c:pt>
                <c:pt idx="2">
                  <c:v>3.75</c:v>
                </c:pt>
                <c:pt idx="3">
                  <c:v>4.2</c:v>
                </c:pt>
                <c:pt idx="4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2-43AD-B635-30F8C6905D68}"/>
            </c:ext>
          </c:extLst>
        </c:ser>
        <c:ser>
          <c:idx val="2"/>
          <c:order val="2"/>
          <c:tx>
            <c:strRef>
              <c:f>'PS5.06_Ind01   '!$B$14:$C$14</c:f>
              <c:strCache>
                <c:ptCount val="2"/>
                <c:pt idx="0">
                  <c:v>Ciències Ambientals i Grau en 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'!$D$14:$H$14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3.6</c:v>
                </c:pt>
                <c:pt idx="3">
                  <c:v>4</c:v>
                </c:pt>
                <c:pt idx="4">
                  <c:v>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2-43AD-B635-30F8C6905D68}"/>
            </c:ext>
          </c:extLst>
        </c:ser>
        <c:ser>
          <c:idx val="3"/>
          <c:order val="3"/>
          <c:tx>
            <c:strRef>
              <c:f>'PS5.06_Ind01   '!$B$15:$C$15</c:f>
              <c:strCache>
                <c:ptCount val="2"/>
                <c:pt idx="0">
                  <c:v>Estadística Aplicada 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'!$D$15:$H$15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4.17</c:v>
                </c:pt>
                <c:pt idx="3">
                  <c:v>2</c:v>
                </c:pt>
                <c:pt idx="4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2-43AD-B635-30F8C6905D68}"/>
            </c:ext>
          </c:extLst>
        </c:ser>
        <c:ser>
          <c:idx val="4"/>
          <c:order val="4"/>
          <c:tx>
            <c:strRef>
              <c:f>'PS5.06_Ind01   '!$B$16:$C$16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'!$D$16:$H$16</c:f>
              <c:numCache>
                <c:formatCode>General</c:formatCode>
                <c:ptCount val="5"/>
                <c:pt idx="0">
                  <c:v>3.33</c:v>
                </c:pt>
                <c:pt idx="1">
                  <c:v>3.9</c:v>
                </c:pt>
                <c:pt idx="2">
                  <c:v>3.85</c:v>
                </c:pt>
                <c:pt idx="3">
                  <c:v>3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2-43AD-B635-30F8C6905D68}"/>
            </c:ext>
          </c:extLst>
        </c:ser>
        <c:ser>
          <c:idx val="5"/>
          <c:order val="5"/>
          <c:tx>
            <c:strRef>
              <c:f>'PS5.06_Ind01   '!$B$17:$C$17</c:f>
              <c:strCache>
                <c:ptCount val="2"/>
                <c:pt idx="0">
                  <c:v>Física i Matemàtiques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'!$D$17:$H$17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92-43AD-B635-30F8C6905D68}"/>
            </c:ext>
          </c:extLst>
        </c:ser>
        <c:ser>
          <c:idx val="6"/>
          <c:order val="6"/>
          <c:tx>
            <c:strRef>
              <c:f>'PS5.06_Ind01   '!$B$18:$C$18</c:f>
              <c:strCache>
                <c:ptCount val="2"/>
                <c:pt idx="0">
                  <c:v>Física i 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'!$D$18:$H$18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0</c:v>
                </c:pt>
                <c:pt idx="3">
                  <c:v>3.5</c:v>
                </c:pt>
                <c:pt idx="4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92-43AD-B635-30F8C6905D68}"/>
            </c:ext>
          </c:extLst>
        </c:ser>
        <c:ser>
          <c:idx val="7"/>
          <c:order val="7"/>
          <c:tx>
            <c:strRef>
              <c:f>'PS5.06_Ind01   '!$B$19:$C$19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'!$D$19:$H$19</c:f>
              <c:numCache>
                <c:formatCode>General</c:formatCode>
                <c:ptCount val="5"/>
                <c:pt idx="0">
                  <c:v>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3AD-B635-30F8C6905D68}"/>
            </c:ext>
          </c:extLst>
        </c:ser>
        <c:ser>
          <c:idx val="8"/>
          <c:order val="8"/>
          <c:tx>
            <c:strRef>
              <c:f>'PS5.06_Ind01   '!$B$20:$C$20</c:f>
              <c:strCache>
                <c:ptCount val="2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92-43AD-B635-30F8C6905D68}"/>
            </c:ext>
          </c:extLst>
        </c:ser>
        <c:ser>
          <c:idx val="9"/>
          <c:order val="9"/>
          <c:tx>
            <c:strRef>
              <c:f>'PS5.06_Ind01   '!$B$21:$C$21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'!$D$21:$H$21</c:f>
              <c:numCache>
                <c:formatCode>General</c:formatCode>
                <c:ptCount val="5"/>
                <c:pt idx="0">
                  <c:v>3.9</c:v>
                </c:pt>
                <c:pt idx="1">
                  <c:v>3.93</c:v>
                </c:pt>
                <c:pt idx="2">
                  <c:v>3</c:v>
                </c:pt>
                <c:pt idx="3">
                  <c:v>3.2</c:v>
                </c:pt>
                <c:pt idx="4">
                  <c:v>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92-43AD-B635-30F8C6905D68}"/>
            </c:ext>
          </c:extLst>
        </c:ser>
        <c:ser>
          <c:idx val="10"/>
          <c:order val="10"/>
          <c:tx>
            <c:strRef>
              <c:f>'PS5.06_Ind01   '!$B$22:$C$22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'!$D$22:$H$22</c:f>
              <c:numCache>
                <c:formatCode>General</c:formatCode>
                <c:ptCount val="5"/>
                <c:pt idx="0">
                  <c:v>3.64</c:v>
                </c:pt>
                <c:pt idx="1">
                  <c:v>3.67</c:v>
                </c:pt>
                <c:pt idx="2">
                  <c:v>3</c:v>
                </c:pt>
                <c:pt idx="3">
                  <c:v>3.5</c:v>
                </c:pt>
                <c:pt idx="4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3AD-B635-30F8C6905D68}"/>
            </c:ext>
          </c:extLst>
        </c:ser>
        <c:ser>
          <c:idx val="11"/>
          <c:order val="11"/>
          <c:tx>
            <c:strRef>
              <c:f>'PS5.06_Ind01   '!$B$23:$C$23</c:f>
              <c:strCache>
                <c:ptCount val="2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'!$D$23:$H$23</c:f>
              <c:numCache>
                <c:formatCode>General</c:formatCode>
                <c:ptCount val="5"/>
                <c:pt idx="0">
                  <c:v>3.32</c:v>
                </c:pt>
                <c:pt idx="1">
                  <c:v>3.63</c:v>
                </c:pt>
                <c:pt idx="2">
                  <c:v>2.58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92-43AD-B635-30F8C6905D68}"/>
            </c:ext>
          </c:extLst>
        </c:ser>
        <c:ser>
          <c:idx val="12"/>
          <c:order val="12"/>
          <c:tx>
            <c:strRef>
              <c:f>'PS5.06_Ind01   '!$B$26:$C$26</c:f>
              <c:strCache>
                <c:ptCount val="2"/>
                <c:pt idx="0">
                  <c:v>Valor objectiu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'PS5.06_Ind01   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'PS5.06_Ind01   '!$D$26:$H$26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92-43AD-B635-30F8C6905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53499264"/>
        <c:axId val="1823809024"/>
      </c:barChart>
      <c:catAx>
        <c:axId val="19534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23809024"/>
        <c:crosses val="autoZero"/>
        <c:auto val="1"/>
        <c:lblAlgn val="ctr"/>
        <c:lblOffset val="100"/>
        <c:noMultiLvlLbl val="0"/>
      </c:catAx>
      <c:valAx>
        <c:axId val="18238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5349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PE1.03_ind03 Ràtio de places en primera opció</a:t>
            </a:r>
            <a:r>
              <a:rPr lang="en-US" baseline="0"/>
              <a:t> versus places ofertades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2.5649401468596667E-2"/>
          <c:y val="4.1504539559014265E-2"/>
          <c:w val="0.59962919295236927"/>
          <c:h val="0.84405465853733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'PE1.03_Ind01'!$B$29</c:f>
              <c:strCache>
                <c:ptCount val="1"/>
                <c:pt idx="0">
                  <c:v>9. Gràfic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'PE1.03_Ind01'!$C$29:$E$29</c:f>
              <c:numCache>
                <c:formatCode>General</c:formatCode>
                <c:ptCount val="3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EBE-4EBD-873B-0C4A564A6B93}"/>
            </c:ext>
          </c:extLst>
        </c:ser>
        <c:ser>
          <c:idx val="1"/>
          <c:order val="1"/>
          <c:tx>
            <c:strRef>
              <c:f>'PE1.03_Ind01'!$B$13</c:f>
              <c:strCache>
                <c:ptCount val="1"/>
                <c:pt idx="0">
                  <c:v>Ciències Ambientals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'PE1.03_Ind01'!$D$13:$H$13</c:f>
              <c:numCache>
                <c:formatCode>General</c:formatCode>
                <c:ptCount val="5"/>
                <c:pt idx="0">
                  <c:v>0.7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BEBE-4EBD-873B-0C4A564A6B93}"/>
            </c:ext>
          </c:extLst>
        </c:ser>
        <c:ser>
          <c:idx val="2"/>
          <c:order val="2"/>
          <c:tx>
            <c:strRef>
              <c:f>'PE1.03_Ind01'!$B$14</c:f>
              <c:strCache>
                <c:ptCount val="1"/>
                <c:pt idx="0">
                  <c:v>Ciències Ambientals + Geologia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'PE1.03_Ind01'!$D$14:$H$14</c:f>
              <c:numCache>
                <c:formatCode>General</c:formatCode>
                <c:ptCount val="5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1.2</c:v>
                </c:pt>
                <c:pt idx="4">
                  <c:v>0.8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BE-4EBD-873B-0C4A564A6B93}"/>
            </c:ext>
          </c:extLst>
        </c:ser>
        <c:ser>
          <c:idx val="3"/>
          <c:order val="3"/>
          <c:tx>
            <c:strRef>
              <c:f>'PE1.03_Ind01'!$B$15</c:f>
              <c:strCache>
                <c:ptCount val="1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'PE1.03_Ind01'!$D$15:$H$15</c:f>
              <c:numCache>
                <c:formatCode>General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1.6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BE-4EBD-873B-0C4A564A6B93}"/>
            </c:ext>
          </c:extLst>
        </c:ser>
        <c:ser>
          <c:idx val="4"/>
          <c:order val="4"/>
          <c:tx>
            <c:strRef>
              <c:f>'PE1.03_Ind01'!$B$16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'PE1.03_Ind01'!$D$16:$H$16</c:f>
              <c:numCache>
                <c:formatCode>General</c:formatCode>
                <c:ptCount val="5"/>
                <c:pt idx="0">
                  <c:v>1.8</c:v>
                </c:pt>
                <c:pt idx="1">
                  <c:v>2.2000000000000002</c:v>
                </c:pt>
                <c:pt idx="2">
                  <c:v>2.1</c:v>
                </c:pt>
                <c:pt idx="3">
                  <c:v>2.4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BE-4EBD-873B-0C4A564A6B93}"/>
            </c:ext>
          </c:extLst>
        </c:ser>
        <c:ser>
          <c:idx val="7"/>
          <c:order val="7"/>
          <c:tx>
            <c:strRef>
              <c:f>'PE1.03_Ind01'!$B$20</c:f>
              <c:strCache>
                <c:ptCount val="1"/>
                <c:pt idx="0">
                  <c:v>Matemàtica Computacional i Analítica de Dades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'PE1.03_Ind01'!$D$20:$H$20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BE-4EBD-873B-0C4A564A6B93}"/>
            </c:ext>
          </c:extLst>
        </c:ser>
        <c:ser>
          <c:idx val="8"/>
          <c:order val="8"/>
          <c:tx>
            <c:strRef>
              <c:f>'PE1.03_Ind01'!$B$21</c:f>
              <c:strCache>
                <c:ptCount val="1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'PE1.03_Ind01'!$D$21:$H$21</c:f>
              <c:numCache>
                <c:formatCode>General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1.2</c:v>
                </c:pt>
                <c:pt idx="3">
                  <c:v>2</c:v>
                </c:pt>
                <c:pt idx="4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BE-4EBD-873B-0C4A564A6B93}"/>
            </c:ext>
          </c:extLst>
        </c:ser>
        <c:ser>
          <c:idx val="9"/>
          <c:order val="9"/>
          <c:tx>
            <c:strRef>
              <c:f>'PE1.03_Ind01'!$B$22</c:f>
              <c:strCache>
                <c:ptCount val="1"/>
                <c:pt idx="0">
                  <c:v>Nanociència i Nanotecnologia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'PE1.03_Ind01'!$D$22:$H$22</c:f>
              <c:numCache>
                <c:formatCode>General</c:formatCode>
                <c:ptCount val="5"/>
                <c:pt idx="0">
                  <c:v>1.3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BE-4EBD-873B-0C4A564A6B93}"/>
            </c:ext>
          </c:extLst>
        </c:ser>
        <c:ser>
          <c:idx val="10"/>
          <c:order val="10"/>
          <c:tx>
            <c:strRef>
              <c:f>'PE1.03_Ind01'!$B$23</c:f>
              <c:strCache>
                <c:ptCount val="1"/>
                <c:pt idx="0">
                  <c:v>Química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'PE1.03_Ind01'!$D$23:$H$23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0.9</c:v>
                </c:pt>
                <c:pt idx="4">
                  <c:v>1.1000000000000001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BEBE-4EBD-873B-0C4A564A6B93}"/>
            </c:ext>
          </c:extLst>
        </c:ser>
        <c:ser>
          <c:idx val="12"/>
          <c:order val="12"/>
          <c:tx>
            <c:strRef>
              <c:f>'PE1.03_Ind01'!$B$19</c:f>
              <c:strCache>
                <c:ptCount val="1"/>
                <c:pt idx="0">
                  <c:v>Geologia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'PE1.03_Ind01'!$E$12:$I$12</c:f>
              <c:strCache>
                <c:ptCount val="5"/>
                <c:pt idx="0">
                  <c:v>2018/2019</c:v>
                </c:pt>
                <c:pt idx="1">
                  <c:v>2019/2020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f>'PE1.03_Ind01'!$D$19:$H$19</c:f>
              <c:numCache>
                <c:formatCode>General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EBE-4EBD-873B-0C4A564A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9673840"/>
        <c:axId val="163458988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'PE1.03_Ind01'!$B$17</c15:sqref>
                        </c15:formulaRef>
                      </c:ext>
                    </c:extLst>
                    <c:strCache>
                      <c:ptCount val="1"/>
                      <c:pt idx="0">
                        <c:v>Física + Matemàtiques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'PE1.03_Ind01'!$E$12:$I$12</c15:sqref>
                        </c15:formulaRef>
                      </c:ext>
                    </c:extLst>
                    <c:strCache>
                      <c:ptCount val="5"/>
                      <c:pt idx="0">
                        <c:v>2018/2019</c:v>
                      </c:pt>
                      <c:pt idx="1">
                        <c:v>2019/2020</c:v>
                      </c:pt>
                      <c:pt idx="2">
                        <c:v>2020/2021</c:v>
                      </c:pt>
                      <c:pt idx="3">
                        <c:v>2021/2022</c:v>
                      </c:pt>
                      <c:pt idx="4">
                        <c:v>2022/2023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'PE1.03_Ind01'!$D$17:$H$17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5.9</c:v>
                      </c:pt>
                      <c:pt idx="1">
                        <c:v>4.7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5.2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EBE-4EBD-873B-0C4A564A6B9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'PE1.03_Ind01'!$B$18</c15:sqref>
                        </c15:formulaRef>
                      </c:ext>
                    </c:extLst>
                    <c:strCache>
                      <c:ptCount val="1"/>
                      <c:pt idx="0">
                        <c:v>Física + Química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'PE1.03_Ind01'!$E$12:$I$12</c15:sqref>
                        </c15:formulaRef>
                      </c:ext>
                    </c:extLst>
                    <c:strCache>
                      <c:ptCount val="5"/>
                      <c:pt idx="0">
                        <c:v>2018/2019</c:v>
                      </c:pt>
                      <c:pt idx="1">
                        <c:v>2019/2020</c:v>
                      </c:pt>
                      <c:pt idx="2">
                        <c:v>2020/2021</c:v>
                      </c:pt>
                      <c:pt idx="3">
                        <c:v>2021/2022</c:v>
                      </c:pt>
                      <c:pt idx="4">
                        <c:v>2022/2023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'PE1.03_Ind01'!$D$18:$H$18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1.9</c:v>
                      </c:pt>
                      <c:pt idx="1">
                        <c:v>1.8</c:v>
                      </c:pt>
                      <c:pt idx="2">
                        <c:v>1.9</c:v>
                      </c:pt>
                      <c:pt idx="3">
                        <c:v>1.9</c:v>
                      </c:pt>
                      <c:pt idx="4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EBE-4EBD-873B-0C4A564A6B9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1"/>
          <c:order val="11"/>
          <c:tx>
            <c:strRef>
              <c:f>'PE1.03_Ind01'!$B$24</c:f>
              <c:strCache>
                <c:ptCount val="1"/>
                <c:pt idx="0">
                  <c:v>Valor objectiu ≥ 0.8</c:v>
                </c:pt>
              </c:strCache>
            </c:strRef>
          </c:tx>
          <c:spPr>
            <a:ln w="34925" cap="sq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FD5E8E5-B847-4C11-9498-625A64C68A15}" type="VALUE">
                      <a:rPr lang="en-US" b="1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BEBE-4EBD-873B-0C4A564A6B93}"/>
                </c:ext>
              </c:extLst>
            </c:dLbl>
            <c:dLbl>
              <c:idx val="1"/>
              <c:layout>
                <c:manualLayout>
                  <c:x val="0"/>
                  <c:y val="-1.6108176497878445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0BF4A3-39A5-4BC6-B752-05AC5015EA00}" type="VALUE">
                      <a:rPr lang="en-US" b="1"/>
                      <a:pPr>
                        <a:defRPr/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>
                  <a:glow rad="63500">
                    <a:schemeClr val="accent1">
                      <a:satMod val="175000"/>
                      <a:alpha val="40000"/>
                    </a:schemeClr>
                  </a:glow>
                  <a:outerShdw blurRad="50800" dist="50800" dir="5400000" algn="ctr" rotWithShape="0">
                    <a:schemeClr val="accent2"/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BEBE-4EBD-873B-0C4A564A6B9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FE6C6F-DAAC-4C43-8C51-7CCAD4E66BD6}" type="VALUE">
                      <a:rPr lang="en-US" b="1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EBE-4EBD-873B-0C4A564A6B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3B11F7-3A1A-4D8A-B879-8358BFA11059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EBE-4EBD-873B-0C4A564A6B9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916F3BA-AAE0-4B25-BEBD-F5778FC9A582}" type="VALUE">
                      <a:rPr lang="en-US" b="1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BEBE-4EBD-873B-0C4A564A6B93}"/>
                </c:ext>
              </c:extLst>
            </c:dLbl>
            <c:spPr>
              <a:noFill/>
              <a:ln>
                <a:noFill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'PE1.03_Ind01'!$D$12:$H$12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'PE1.03_Ind01'!$D$24:$H$24</c:f>
              <c:numCache>
                <c:formatCode>General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EBE-4EBD-873B-0C4A564A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673840"/>
        <c:axId val="1634589888"/>
      </c:lineChart>
      <c:catAx>
        <c:axId val="147967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34589888"/>
        <c:crosses val="autoZero"/>
        <c:auto val="1"/>
        <c:lblAlgn val="ctr"/>
        <c:lblOffset val="100"/>
        <c:noMultiLvlLbl val="0"/>
      </c:catAx>
      <c:valAx>
        <c:axId val="16345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967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200" b="1" i="0" u="none" strike="noStrike" baseline="0">
                <a:effectLst/>
              </a:rPr>
              <a:t>E1.03_Ind02. Taxa de graduació per curs acadèmic i titulació(per cohort, N+1, Graus</a:t>
            </a:r>
            <a:r>
              <a:rPr lang="es-ES" sz="1600" b="1" i="0" u="none" strike="noStrike" baseline="0">
                <a:effectLst/>
              </a:rPr>
              <a:t>) </a:t>
            </a:r>
            <a:endParaRPr lang="ca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7.5708661417322853E-2"/>
          <c:y val="6.0185185185185182E-2"/>
          <c:w val="0.88818022747156611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'PE1.03_Ind02'!$B$29</c:f>
              <c:strCache>
                <c:ptCount val="1"/>
                <c:pt idx="0">
                  <c:v>9. Gràfic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'PE1.03_Ind02'!$C$29:$E$29</c15:sqref>
                  </c15:fullRef>
                </c:ext>
              </c:extLst>
              <c:f>'PE1.03_Ind02'!$C$29:$E$29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224-4373-9878-F57F86CB1C37}"/>
            </c:ext>
          </c:extLst>
        </c:ser>
        <c:ser>
          <c:idx val="1"/>
          <c:order val="1"/>
          <c:tx>
            <c:strRef>
              <c:f>'PE1.03_Ind02'!$C$12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'PE1.03_Ind02'!$D$12:$G$12</c15:sqref>
                  </c15:fullRef>
                </c:ext>
              </c:extLst>
              <c:f>'PE1.03_Ind02'!$D$12:$F$12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4-4373-9878-F57F86CB1C37}"/>
            </c:ext>
          </c:extLst>
        </c:ser>
        <c:ser>
          <c:idx val="2"/>
          <c:order val="2"/>
          <c:tx>
            <c:strRef>
              <c:f>'PE1.03_Ind02'!$B$13:$C$13</c:f>
              <c:strCache>
                <c:ptCount val="2"/>
                <c:pt idx="0">
                  <c:v>Ciències Ambientals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'PE1.03_Ind02'!$D$13:$G$13</c15:sqref>
                  </c15:fullRef>
                </c:ext>
              </c:extLst>
              <c:f>'PE1.03_Ind02'!$D$13:$F$13</c:f>
              <c:numCache>
                <c:formatCode>0.00%</c:formatCode>
                <c:ptCount val="3"/>
                <c:pt idx="0">
                  <c:v>0.57530000000000003</c:v>
                </c:pt>
                <c:pt idx="1">
                  <c:v>0.66200000000000003</c:v>
                </c:pt>
                <c:pt idx="2">
                  <c:v>0.68569999999999998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24-4373-9878-F57F86CB1C37}"/>
            </c:ext>
          </c:extLst>
        </c:ser>
        <c:ser>
          <c:idx val="3"/>
          <c:order val="3"/>
          <c:tx>
            <c:strRef>
              <c:f>'PE1.03_Ind02'!$B$14:$C$14</c:f>
              <c:strCache>
                <c:ptCount val="2"/>
                <c:pt idx="0">
                  <c:v>Ciències Ambientals i Geologia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'PE1.03_Ind02'!$D$14:$G$14</c15:sqref>
                  </c15:fullRef>
                </c:ext>
              </c:extLst>
              <c:f>'PE1.03_Ind02'!$D$14:$F$14</c:f>
              <c:numCache>
                <c:formatCode>0.00%</c:formatCode>
                <c:ptCount val="3"/>
                <c:pt idx="0" formatCode="General">
                  <c:v>0</c:v>
                </c:pt>
                <c:pt idx="1">
                  <c:v>0.68179999999999996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24-4373-9878-F57F86CB1C37}"/>
            </c:ext>
          </c:extLst>
        </c:ser>
        <c:ser>
          <c:idx val="4"/>
          <c:order val="4"/>
          <c:tx>
            <c:strRef>
              <c:f>'PE1.03_Ind02'!$B$15:$C$15</c:f>
              <c:strCache>
                <c:ptCount val="2"/>
                <c:pt idx="0">
                  <c:v>Estadística Aplicada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'PE1.03_Ind02'!$D$15:$G$15</c15:sqref>
                  </c15:fullRef>
                </c:ext>
              </c:extLst>
              <c:f>'PE1.03_Ind02'!$D$15:$F$15</c:f>
              <c:numCache>
                <c:formatCode>0.00%</c:formatCode>
                <c:ptCount val="3"/>
                <c:pt idx="0">
                  <c:v>0.42499999999999999</c:v>
                </c:pt>
                <c:pt idx="1">
                  <c:v>0.15379999999999999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4-4373-9878-F57F86CB1C37}"/>
            </c:ext>
          </c:extLst>
        </c:ser>
        <c:ser>
          <c:idx val="5"/>
          <c:order val="5"/>
          <c:tx>
            <c:strRef>
              <c:f>'PE1.03_Ind02'!$B$16:$C$16</c:f>
              <c:strCache>
                <c:ptCount val="2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'PE1.03_Ind02'!$D$16:$G$16</c15:sqref>
                  </c15:fullRef>
                </c:ext>
              </c:extLst>
              <c:f>'PE1.03_Ind02'!$D$16:$F$16</c:f>
              <c:numCache>
                <c:formatCode>0.00%</c:formatCode>
                <c:ptCount val="3"/>
                <c:pt idx="0" formatCode="0%">
                  <c:v>0.73</c:v>
                </c:pt>
                <c:pt idx="1">
                  <c:v>0.59419999999999995</c:v>
                </c:pt>
                <c:pt idx="2">
                  <c:v>0.57140000000000002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24-4373-9878-F57F86CB1C37}"/>
            </c:ext>
          </c:extLst>
        </c:ser>
        <c:ser>
          <c:idx val="6"/>
          <c:order val="6"/>
          <c:tx>
            <c:strRef>
              <c:f>'PE1.03_Ind02'!$B$17:$C$17</c:f>
              <c:strCache>
                <c:ptCount val="2"/>
                <c:pt idx="0">
                  <c:v>Física i Matemátiques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'PE1.03_Ind02'!$D$17:$G$17</c15:sqref>
                  </c15:fullRef>
                </c:ext>
              </c:extLst>
              <c:f>'PE1.03_Ind02'!$D$17:$F$17</c:f>
              <c:numCache>
                <c:formatCode>0.00%</c:formatCode>
                <c:ptCount val="3"/>
                <c:pt idx="0" formatCode="0%">
                  <c:v>0.71430000000000005</c:v>
                </c:pt>
                <c:pt idx="1">
                  <c:v>0.83330000000000004</c:v>
                </c:pt>
                <c:pt idx="2">
                  <c:v>0.95650000000000002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24-4373-9878-F57F86CB1C37}"/>
            </c:ext>
          </c:extLst>
        </c:ser>
        <c:ser>
          <c:idx val="7"/>
          <c:order val="7"/>
          <c:tx>
            <c:strRef>
              <c:f>'PE1.03_Ind02'!$B$18:$C$18</c:f>
              <c:strCache>
                <c:ptCount val="2"/>
                <c:pt idx="0">
                  <c:v>Física i  Química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'PE1.03_Ind02'!$D$18:$G$18</c15:sqref>
                  </c15:fullRef>
                </c:ext>
              </c:extLst>
              <c:f>'PE1.03_Ind02'!$D$18:$F$18</c:f>
              <c:numCache>
                <c:formatCode>General</c:formatCode>
                <c:ptCount val="3"/>
                <c:pt idx="0" formatCode="0.00%">
                  <c:v>0.63639999999999997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24-4373-9878-F57F86CB1C37}"/>
            </c:ext>
          </c:extLst>
        </c:ser>
        <c:ser>
          <c:idx val="8"/>
          <c:order val="8"/>
          <c:tx>
            <c:strRef>
              <c:f>'PE1.03_Ind02'!$B$19:$C$19</c:f>
              <c:strCache>
                <c:ptCount val="2"/>
                <c:pt idx="0">
                  <c:v>Geologia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'PE1.03_Ind02'!$D$19:$G$19</c15:sqref>
                  </c15:fullRef>
                </c:ext>
              </c:extLst>
              <c:f>'PE1.03_Ind02'!$D$19:$F$19</c:f>
              <c:numCache>
                <c:formatCode>0.00%</c:formatCode>
                <c:ptCount val="3"/>
                <c:pt idx="0">
                  <c:v>0.1525</c:v>
                </c:pt>
                <c:pt idx="1">
                  <c:v>0.26319999999999999</c:v>
                </c:pt>
                <c:pt idx="2">
                  <c:v>0.4103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24-4373-9878-F57F86CB1C37}"/>
            </c:ext>
          </c:extLst>
        </c:ser>
        <c:ser>
          <c:idx val="9"/>
          <c:order val="9"/>
          <c:tx>
            <c:strRef>
              <c:f>'PE1.03_Ind02'!$B$20:$C$20</c:f>
              <c:strCache>
                <c:ptCount val="2"/>
                <c:pt idx="0">
                  <c:v>Matemàtiques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'PE1.03_Ind02'!$D$20:$G$20</c15:sqref>
                  </c15:fullRef>
                </c:ext>
              </c:extLst>
              <c:f>'PE1.03_Ind02'!$D$20:$F$20</c:f>
              <c:numCache>
                <c:formatCode>0.00%</c:formatCode>
                <c:ptCount val="3"/>
                <c:pt idx="0">
                  <c:v>0.39240000000000003</c:v>
                </c:pt>
                <c:pt idx="1">
                  <c:v>0.4425</c:v>
                </c:pt>
                <c:pt idx="2">
                  <c:v>0.38100000000000001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24-4373-9878-F57F86CB1C37}"/>
            </c:ext>
          </c:extLst>
        </c:ser>
        <c:ser>
          <c:idx val="10"/>
          <c:order val="10"/>
          <c:tx>
            <c:strRef>
              <c:f>'PE1.03_Ind02'!$B$21:$C$21</c:f>
              <c:strCache>
                <c:ptCount val="2"/>
                <c:pt idx="0">
                  <c:v>Matemàtica Computacional i Analítica de Dades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'PE1.03_Ind02'!$D$21:$G$21</c15:sqref>
                  </c15:fullRef>
                </c:ext>
              </c:extLst>
              <c:f>'PE1.03_Ind02'!$D$21:$F$21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24-4373-9878-F57F86CB1C37}"/>
            </c:ext>
          </c:extLst>
        </c:ser>
        <c:ser>
          <c:idx val="11"/>
          <c:order val="11"/>
          <c:tx>
            <c:strRef>
              <c:f>'PE1.03_Ind02'!$B$22:$C$22</c:f>
              <c:strCache>
                <c:ptCount val="2"/>
                <c:pt idx="0">
                  <c:v>Nanociència i Nanotecnologia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'PE1.03_Ind02'!$D$22:$G$22</c15:sqref>
                  </c15:fullRef>
                </c:ext>
              </c:extLst>
              <c:f>'PE1.03_Ind02'!$D$22:$F$22</c:f>
              <c:numCache>
                <c:formatCode>0.00%</c:formatCode>
                <c:ptCount val="3"/>
                <c:pt idx="0">
                  <c:v>0.81689999999999996</c:v>
                </c:pt>
                <c:pt idx="1">
                  <c:v>0.73360000000000003</c:v>
                </c:pt>
                <c:pt idx="2">
                  <c:v>0.77939999999999998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24-4373-9878-F57F86CB1C37}"/>
            </c:ext>
          </c:extLst>
        </c:ser>
        <c:ser>
          <c:idx val="12"/>
          <c:order val="12"/>
          <c:tx>
            <c:strRef>
              <c:f>'PE1.03_Ind02'!$B$23:$C$23</c:f>
              <c:strCache>
                <c:ptCount val="2"/>
                <c:pt idx="0">
                  <c:v>Química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'PE1.03_Ind02'!$D$23:$G$23</c15:sqref>
                  </c15:fullRef>
                </c:ext>
              </c:extLst>
              <c:f>'PE1.03_Ind02'!$D$23:$F$23</c:f>
              <c:numCache>
                <c:formatCode>0.00%</c:formatCode>
                <c:ptCount val="3"/>
                <c:pt idx="0">
                  <c:v>0.47539999999999999</c:v>
                </c:pt>
                <c:pt idx="1">
                  <c:v>0.45450000000000002</c:v>
                </c:pt>
                <c:pt idx="2">
                  <c:v>0.39860000000000001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24-4373-9878-F57F86CB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6556080"/>
        <c:axId val="930654752"/>
      </c:barChart>
      <c:lineChart>
        <c:grouping val="standard"/>
        <c:varyColors val="0"/>
        <c:ser>
          <c:idx val="13"/>
          <c:order val="13"/>
          <c:tx>
            <c:strRef>
              <c:f>'PE1.03_Ind02'!$B$26:$C$26</c:f>
              <c:strCache>
                <c:ptCount val="2"/>
                <c:pt idx="0">
                  <c:v>Valor objectiu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'PE1.03_Ind02'!$D$12:$F$12</c15:sqref>
                  </c15:fullRef>
                </c:ext>
              </c:extLst>
              <c:f>'PE1.03_Ind02'!$D$12:$F$12</c:f>
              <c:strCache>
                <c:ptCount val="3"/>
                <c:pt idx="0">
                  <c:v>2015/2016</c:v>
                </c:pt>
                <c:pt idx="1">
                  <c:v>2016/2017</c:v>
                </c:pt>
                <c:pt idx="2">
                  <c:v>2017/2018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'PE1.03_Ind02'!$D$26:$G$26</c15:sqref>
                  </c15:fullRef>
                </c:ext>
              </c:extLst>
              <c:f>'PE1.03_Ind02'!$D$26:$F$26</c:f>
              <c:numCache>
                <c:formatCode>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224-4373-9878-F57F86CB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556080"/>
        <c:axId val="930654752"/>
      </c:lineChart>
      <c:catAx>
        <c:axId val="1326556080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0654752"/>
        <c:crosses val="autoZero"/>
        <c:auto val="1"/>
        <c:lblAlgn val="ctr"/>
        <c:lblOffset val="100"/>
        <c:noMultiLvlLbl val="0"/>
      </c:catAx>
      <c:valAx>
        <c:axId val="930654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265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1138190769039942E-2"/>
          <c:y val="0.10302011555794703"/>
          <c:w val="0.91886180923096006"/>
          <c:h val="0.17386395075258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image" Target="../media/image2.png"/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662517</xdr:colOff>
      <xdr:row>1</xdr:row>
      <xdr:rowOff>97367</xdr:rowOff>
    </xdr:from>
    <xdr:to>
      <xdr:col>1</xdr:col>
      <xdr:colOff>1651000</xdr:colOff>
      <xdr:row>3</xdr:row>
      <xdr:rowOff>464264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CF548A2-5CAF-43FE-B789-C681BD738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67" y="297392"/>
          <a:ext cx="1988608" cy="6907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161925</xdr:rowOff>
    </xdr:from>
    <xdr:to>
      <xdr:col>2</xdr:col>
      <xdr:colOff>369778</xdr:colOff>
      <xdr:row>1</xdr:row>
      <xdr:rowOff>568325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FC465136-FDC4-4887-B42B-6BEE18A1C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138111</xdr:colOff>
      <xdr:row>29</xdr:row>
      <xdr:rowOff>219074</xdr:rowOff>
    </xdr:from>
    <xdr:to>
      <xdr:col>13</xdr:col>
      <xdr:colOff>257175</xdr:colOff>
      <xdr:row>51</xdr:row>
      <xdr:rowOff>152400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D46A2FCC-582C-004C-B89A-A3F667ABA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142875</xdr:rowOff>
    </xdr:from>
    <xdr:to>
      <xdr:col>2</xdr:col>
      <xdr:colOff>350728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252132DB-67A9-4056-8E30-A0324B1A6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176212</xdr:colOff>
      <xdr:row>25</xdr:row>
      <xdr:rowOff>142875</xdr:rowOff>
    </xdr:from>
    <xdr:to>
      <xdr:col>9</xdr:col>
      <xdr:colOff>647700</xdr:colOff>
      <xdr:row>41</xdr:row>
      <xdr:rowOff>180975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F687B0C2-79D5-182D-2DAE-34DBC7B14E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142875</xdr:rowOff>
    </xdr:from>
    <xdr:to>
      <xdr:col>2</xdr:col>
      <xdr:colOff>350728</xdr:colOff>
      <xdr:row>1</xdr:row>
      <xdr:rowOff>549275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9E342F8A-5111-4A34-887F-806C88C90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36</xdr:row>
      <xdr:rowOff>57149</xdr:rowOff>
    </xdr:from>
    <xdr:to>
      <xdr:col>11</xdr:col>
      <xdr:colOff>209550</xdr:colOff>
      <xdr:row>59</xdr:row>
      <xdr:rowOff>190500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483C5C5B-391C-C60B-4F13-0FF70A3A5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142875</xdr:colOff>
      <xdr:row>36</xdr:row>
      <xdr:rowOff>200025</xdr:rowOff>
    </xdr:from>
    <xdr:to>
      <xdr:col>21</xdr:col>
      <xdr:colOff>342900</xdr:colOff>
      <xdr:row>48</xdr:row>
      <xdr:rowOff>104775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41017DBB-FFA2-6992-5274-1D1D602D50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</xdr:row>
      <xdr:rowOff>133350</xdr:rowOff>
    </xdr:from>
    <xdr:to>
      <xdr:col>2</xdr:col>
      <xdr:colOff>398353</xdr:colOff>
      <xdr:row>1</xdr:row>
      <xdr:rowOff>539750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23F4F908-C304-4DAA-B5A5-8B77B665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19</xdr:row>
      <xdr:rowOff>152401</xdr:rowOff>
    </xdr:from>
    <xdr:to>
      <xdr:col>8</xdr:col>
      <xdr:colOff>209549</xdr:colOff>
      <xdr:row>32</xdr:row>
      <xdr:rowOff>161925</xdr:rowOff>
    </xdr:to>
    <xdr:graphicFrame macro="">
      <xdr:nvGraphicFramePr>
        <xdr:cNvPr id="6" name="Gràfic 2">
          <a:extLst>
            <a:ext uri="{FF2B5EF4-FFF2-40B4-BE49-F238E27FC236}">
              <a16:creationId xmlns:a16="http://schemas.microsoft.com/office/drawing/2014/main" id="{78BCA6CC-8DBE-32F7-A843-B72A8529B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</xdr:row>
      <xdr:rowOff>133350</xdr:rowOff>
    </xdr:from>
    <xdr:to>
      <xdr:col>3</xdr:col>
      <xdr:colOff>74503</xdr:colOff>
      <xdr:row>1</xdr:row>
      <xdr:rowOff>539750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DD684796-23BE-4DA3-B973-8BE02559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19</xdr:row>
      <xdr:rowOff>152401</xdr:rowOff>
    </xdr:from>
    <xdr:to>
      <xdr:col>8</xdr:col>
      <xdr:colOff>209549</xdr:colOff>
      <xdr:row>32</xdr:row>
      <xdr:rowOff>161925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A9BEE5C6-9B40-42D4-9C6C-EE71C6204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</xdr:row>
      <xdr:rowOff>133350</xdr:rowOff>
    </xdr:from>
    <xdr:to>
      <xdr:col>3</xdr:col>
      <xdr:colOff>74503</xdr:colOff>
      <xdr:row>1</xdr:row>
      <xdr:rowOff>539750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B1AE8C25-4F7B-4A43-80B5-E7B631266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19</xdr:row>
      <xdr:rowOff>152401</xdr:rowOff>
    </xdr:from>
    <xdr:to>
      <xdr:col>8</xdr:col>
      <xdr:colOff>209549</xdr:colOff>
      <xdr:row>32</xdr:row>
      <xdr:rowOff>161925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57CCA154-F72C-45D1-9FB5-AA87CA6A4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161925</xdr:rowOff>
    </xdr:from>
    <xdr:ext cx="4295775" cy="2714625"/>
    <xdr:graphicFrame macro="">
      <xdr:nvGraphicFramePr>
        <xdr:cNvPr id="3" name="Chart 1" title="Gràfic">
          <a:extLst>
            <a:ext uri="{FF2B5EF4-FFF2-40B4-BE49-F238E27FC236}">
              <a16:creationId xmlns:a16="http://schemas.microsoft.com/office/drawing/2014/main" id="{743BB1B5-E436-4C6D-8243-2AB81CFCB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2991625A-27C7-4A9B-A4F9-03EF33EA6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2</xdr:col>
      <xdr:colOff>388828</xdr:colOff>
      <xdr:row>1</xdr:row>
      <xdr:rowOff>539750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F0FCDE74-0F23-4140-BDC5-A615F52D4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28574</xdr:colOff>
      <xdr:row>36</xdr:row>
      <xdr:rowOff>276224</xdr:rowOff>
    </xdr:from>
    <xdr:to>
      <xdr:col>9</xdr:col>
      <xdr:colOff>1466850</xdr:colOff>
      <xdr:row>57</xdr:row>
      <xdr:rowOff>219075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4431746C-12A2-DD13-DDD2-C701F3ECA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803A302C-E2CE-4854-ADEF-384F5F79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195262</xdr:colOff>
      <xdr:row>26</xdr:row>
      <xdr:rowOff>228600</xdr:rowOff>
    </xdr:from>
    <xdr:to>
      <xdr:col>9</xdr:col>
      <xdr:colOff>990600</xdr:colOff>
      <xdr:row>44</xdr:row>
      <xdr:rowOff>114300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F0FFE1F-7098-BB6B-04EA-3557A1364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180975</xdr:rowOff>
    </xdr:from>
    <xdr:to>
      <xdr:col>3</xdr:col>
      <xdr:colOff>93553</xdr:colOff>
      <xdr:row>1</xdr:row>
      <xdr:rowOff>587375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ADB11C4E-1860-4771-854C-FDB81F07C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667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1175</xdr:colOff>
      <xdr:row>25</xdr:row>
      <xdr:rowOff>284513</xdr:rowOff>
    </xdr:from>
    <xdr:to>
      <xdr:col>9</xdr:col>
      <xdr:colOff>766948</xdr:colOff>
      <xdr:row>45</xdr:row>
      <xdr:rowOff>38099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92E2EB89-B4DF-4CD0-1FFE-4589E2E7B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16</xdr:row>
      <xdr:rowOff>95250</xdr:rowOff>
    </xdr:from>
    <xdr:ext cx="4295775" cy="2714625"/>
    <xdr:graphicFrame macro="">
      <xdr:nvGraphicFramePr>
        <xdr:cNvPr id="6" name="Chart 1" title="Gràfic">
          <a:extLst>
            <a:ext uri="{FF2B5EF4-FFF2-40B4-BE49-F238E27FC236}">
              <a16:creationId xmlns:a16="http://schemas.microsoft.com/office/drawing/2014/main" id="{A95C1F0D-DC28-4061-902F-F7FBC21A2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142875</xdr:colOff>
      <xdr:row>1</xdr:row>
      <xdr:rowOff>152400</xdr:rowOff>
    </xdr:from>
    <xdr:to>
      <xdr:col>2</xdr:col>
      <xdr:colOff>379303</xdr:colOff>
      <xdr:row>1</xdr:row>
      <xdr:rowOff>558800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F8023D67-3841-4116-9E10-B1FA99A34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38150"/>
          <a:ext cx="1179403" cy="4064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180975</xdr:rowOff>
    </xdr:from>
    <xdr:to>
      <xdr:col>1</xdr:col>
      <xdr:colOff>569803</xdr:colOff>
      <xdr:row>1</xdr:row>
      <xdr:rowOff>711200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197A825A-836C-42EF-87AC-B436D7F0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667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157161</xdr:colOff>
      <xdr:row>26</xdr:row>
      <xdr:rowOff>180974</xdr:rowOff>
    </xdr:from>
    <xdr:to>
      <xdr:col>6</xdr:col>
      <xdr:colOff>495299</xdr:colOff>
      <xdr:row>62</xdr:row>
      <xdr:rowOff>9524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1C903D61-8FDD-760D-B289-60C8D36A2C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69BE03BA-FAE1-4A6B-B3A8-B64D97967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80962</xdr:colOff>
      <xdr:row>19</xdr:row>
      <xdr:rowOff>247649</xdr:rowOff>
    </xdr:from>
    <xdr:to>
      <xdr:col>8</xdr:col>
      <xdr:colOff>190500</xdr:colOff>
      <xdr:row>42</xdr:row>
      <xdr:rowOff>9524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1890833F-4765-B2DE-59CF-D6790CB63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2</xdr:col>
      <xdr:colOff>388828</xdr:colOff>
      <xdr:row>1</xdr:row>
      <xdr:rowOff>539750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E755540A-E1BB-4668-A4D5-8469D379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4761</xdr:colOff>
      <xdr:row>27</xdr:row>
      <xdr:rowOff>200024</xdr:rowOff>
    </xdr:from>
    <xdr:to>
      <xdr:col>7</xdr:col>
      <xdr:colOff>333374</xdr:colOff>
      <xdr:row>41</xdr:row>
      <xdr:rowOff>152399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B103AFBD-4A26-E3B0-27DA-3D86E5A2E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2</xdr:col>
      <xdr:colOff>369778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ACF25D6-BBCF-42FB-A5F2-F79C8F1C7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147636</xdr:colOff>
      <xdr:row>29</xdr:row>
      <xdr:rowOff>171450</xdr:rowOff>
    </xdr:from>
    <xdr:to>
      <xdr:col>8</xdr:col>
      <xdr:colOff>781049</xdr:colOff>
      <xdr:row>47</xdr:row>
      <xdr:rowOff>76200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AE91A4D4-76A6-ADAE-D114-4E59134F1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F60A9E43-5428-441E-843C-6921A4355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14286</xdr:colOff>
      <xdr:row>38</xdr:row>
      <xdr:rowOff>152399</xdr:rowOff>
    </xdr:from>
    <xdr:to>
      <xdr:col>19</xdr:col>
      <xdr:colOff>219075</xdr:colOff>
      <xdr:row>61</xdr:row>
      <xdr:rowOff>152400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330D07F-0E7F-873A-9497-9F13A7251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836D88B-EE60-4AE2-89BF-279DB105D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8</xdr:col>
      <xdr:colOff>100013</xdr:colOff>
      <xdr:row>55</xdr:row>
      <xdr:rowOff>66675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E05573DA-B6B7-4971-B564-1C7B644B4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2B0ACC86-85FF-40FF-B324-9DE45EC3E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14287</xdr:colOff>
      <xdr:row>35</xdr:row>
      <xdr:rowOff>219074</xdr:rowOff>
    </xdr:from>
    <xdr:to>
      <xdr:col>9</xdr:col>
      <xdr:colOff>133350</xdr:colOff>
      <xdr:row>63</xdr:row>
      <xdr:rowOff>114299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CFC797B1-F3D2-1B30-FA61-CB1ECE74C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0552F4A1-1DF2-4A44-A86E-9FD5D34D7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185736</xdr:colOff>
      <xdr:row>35</xdr:row>
      <xdr:rowOff>228599</xdr:rowOff>
    </xdr:from>
    <xdr:to>
      <xdr:col>9</xdr:col>
      <xdr:colOff>1771650</xdr:colOff>
      <xdr:row>56</xdr:row>
      <xdr:rowOff>238125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897AB7DA-5C56-E749-B45F-3DA6F4A31E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8BB21690-5645-4B15-8E14-63CB3CC8F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276225</xdr:rowOff>
    </xdr:from>
    <xdr:to>
      <xdr:col>5</xdr:col>
      <xdr:colOff>819150</xdr:colOff>
      <xdr:row>44</xdr:row>
      <xdr:rowOff>180975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816CF83-B900-01BE-140E-83BC6C35D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2</xdr:col>
      <xdr:colOff>369778</xdr:colOff>
      <xdr:row>1</xdr:row>
      <xdr:rowOff>549275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8A45E295-F6E7-4D17-B3FF-CE4CED5B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61911</xdr:colOff>
      <xdr:row>29</xdr:row>
      <xdr:rowOff>123825</xdr:rowOff>
    </xdr:from>
    <xdr:to>
      <xdr:col>8</xdr:col>
      <xdr:colOff>695324</xdr:colOff>
      <xdr:row>42</xdr:row>
      <xdr:rowOff>104775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3A527272-C1D0-EA4E-B4E0-FAA273961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152400</xdr:rowOff>
    </xdr:from>
    <xdr:to>
      <xdr:col>3</xdr:col>
      <xdr:colOff>45928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2B53C3C3-90A6-4C7C-8DA3-DAF5061FA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17</xdr:row>
      <xdr:rowOff>133350</xdr:rowOff>
    </xdr:from>
    <xdr:to>
      <xdr:col>6</xdr:col>
      <xdr:colOff>257175</xdr:colOff>
      <xdr:row>27</xdr:row>
      <xdr:rowOff>228600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A86228C5-3A54-EA7C-A799-287704EB5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152400</xdr:rowOff>
    </xdr:from>
    <xdr:to>
      <xdr:col>2</xdr:col>
      <xdr:colOff>379303</xdr:colOff>
      <xdr:row>1</xdr:row>
      <xdr:rowOff>558800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8A9E27F-BE25-4F47-91D1-A72985AF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71437</xdr:colOff>
      <xdr:row>31</xdr:row>
      <xdr:rowOff>85725</xdr:rowOff>
    </xdr:from>
    <xdr:to>
      <xdr:col>8</xdr:col>
      <xdr:colOff>581025</xdr:colOff>
      <xdr:row>44</xdr:row>
      <xdr:rowOff>123825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DB086642-D764-A150-27CE-18B4E46D1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2</xdr:col>
      <xdr:colOff>350728</xdr:colOff>
      <xdr:row>1</xdr:row>
      <xdr:rowOff>539750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4C763A89-8264-4EDA-8771-F0CFA82C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166687</xdr:colOff>
      <xdr:row>26</xdr:row>
      <xdr:rowOff>85725</xdr:rowOff>
    </xdr:from>
    <xdr:to>
      <xdr:col>6</xdr:col>
      <xdr:colOff>128587</xdr:colOff>
      <xdr:row>30</xdr:row>
      <xdr:rowOff>409575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A42DBCB0-ACD9-9429-DBC4-BCA1B018B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B97EF65-6461-4455-AC82-0D9DDD104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8</xdr:col>
      <xdr:colOff>547688</xdr:colOff>
      <xdr:row>47</xdr:row>
      <xdr:rowOff>133350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53050C13-3B5C-4CB2-B1F5-A53449F13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2</xdr:col>
      <xdr:colOff>379303</xdr:colOff>
      <xdr:row>1</xdr:row>
      <xdr:rowOff>549275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F313495B-D966-4E28-AAF7-B5ED25CA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21</xdr:row>
      <xdr:rowOff>57150</xdr:rowOff>
    </xdr:from>
    <xdr:to>
      <xdr:col>8</xdr:col>
      <xdr:colOff>395288</xdr:colOff>
      <xdr:row>39</xdr:row>
      <xdr:rowOff>57150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C8ED143E-BAE7-4E56-9449-5066B3BA7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EB6D0BB9-C86B-438D-90B0-032554A38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14287</xdr:colOff>
      <xdr:row>30</xdr:row>
      <xdr:rowOff>171450</xdr:rowOff>
    </xdr:from>
    <xdr:to>
      <xdr:col>9</xdr:col>
      <xdr:colOff>200025</xdr:colOff>
      <xdr:row>46</xdr:row>
      <xdr:rowOff>209550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E6818E3-0C34-F6AF-6D68-90B28B928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152400</xdr:rowOff>
    </xdr:from>
    <xdr:to>
      <xdr:col>2</xdr:col>
      <xdr:colOff>360253</xdr:colOff>
      <xdr:row>1</xdr:row>
      <xdr:rowOff>558800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D79B1454-3B78-42B9-B8E3-6E065724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5</xdr:col>
      <xdr:colOff>799599</xdr:colOff>
      <xdr:row>44</xdr:row>
      <xdr:rowOff>109287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08A473B-8864-416D-B1EF-8371711CF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9CDF5DBB-1C5F-4A90-B0CF-7D81EB4F6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4761</xdr:colOff>
      <xdr:row>32</xdr:row>
      <xdr:rowOff>161923</xdr:rowOff>
    </xdr:from>
    <xdr:to>
      <xdr:col>11</xdr:col>
      <xdr:colOff>419100</xdr:colOff>
      <xdr:row>60</xdr:row>
      <xdr:rowOff>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169EA437-5F95-5DB2-8756-692D3BE77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152400</xdr:rowOff>
    </xdr:from>
    <xdr:to>
      <xdr:col>1</xdr:col>
      <xdr:colOff>360252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5F9BBFCC-10FD-4B4B-AB6D-988D5B2BA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320842</xdr:colOff>
      <xdr:row>64</xdr:row>
      <xdr:rowOff>250657</xdr:rowOff>
    </xdr:from>
    <xdr:to>
      <xdr:col>5</xdr:col>
      <xdr:colOff>278231</xdr:colOff>
      <xdr:row>76</xdr:row>
      <xdr:rowOff>19049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F668F06B-AF2F-4DA6-A13F-B1D26FD4F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152400</xdr:rowOff>
    </xdr:from>
    <xdr:to>
      <xdr:col>1</xdr:col>
      <xdr:colOff>360252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695FCD47-7ADC-4F6F-8384-C960C4DED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38150"/>
          <a:ext cx="1179402" cy="406400"/>
        </a:xfrm>
        <a:prstGeom prst="rect">
          <a:avLst/>
        </a:prstGeom>
      </xdr:spPr>
    </xdr:pic>
    <xdr:clientData/>
  </xdr:twoCellAnchor>
  <xdr:twoCellAnchor>
    <xdr:from>
      <xdr:col>0</xdr:col>
      <xdr:colOff>441157</xdr:colOff>
      <xdr:row>23</xdr:row>
      <xdr:rowOff>190499</xdr:rowOff>
    </xdr:from>
    <xdr:to>
      <xdr:col>5</xdr:col>
      <xdr:colOff>398546</xdr:colOff>
      <xdr:row>34</xdr:row>
      <xdr:rowOff>209549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B6BBDD7A-8962-49E1-98DD-97FC76CBF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152400</xdr:rowOff>
    </xdr:from>
    <xdr:to>
      <xdr:col>1</xdr:col>
      <xdr:colOff>360252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CD2C361D-6B21-4148-A4CC-A1CE09577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38150"/>
          <a:ext cx="1179402" cy="406400"/>
        </a:xfrm>
        <a:prstGeom prst="rect">
          <a:avLst/>
        </a:prstGeom>
      </xdr:spPr>
    </xdr:pic>
    <xdr:clientData/>
  </xdr:twoCellAnchor>
  <xdr:twoCellAnchor>
    <xdr:from>
      <xdr:col>0</xdr:col>
      <xdr:colOff>441157</xdr:colOff>
      <xdr:row>27</xdr:row>
      <xdr:rowOff>190499</xdr:rowOff>
    </xdr:from>
    <xdr:to>
      <xdr:col>5</xdr:col>
      <xdr:colOff>398546</xdr:colOff>
      <xdr:row>38</xdr:row>
      <xdr:rowOff>209549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24BC4B56-35B3-4FF4-97CF-8E68FF6DF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84028</xdr:colOff>
      <xdr:row>1</xdr:row>
      <xdr:rowOff>692150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5912D444-91DB-42E7-9459-8C75118EB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14325"/>
          <a:ext cx="1179403" cy="549275"/>
        </a:xfrm>
        <a:prstGeom prst="rect">
          <a:avLst/>
        </a:prstGeom>
      </xdr:spPr>
    </xdr:pic>
    <xdr:clientData/>
  </xdr:twoCellAnchor>
  <xdr:twoCellAnchor>
    <xdr:from>
      <xdr:col>0</xdr:col>
      <xdr:colOff>128587</xdr:colOff>
      <xdr:row>18</xdr:row>
      <xdr:rowOff>9525</xdr:rowOff>
    </xdr:from>
    <xdr:to>
      <xdr:col>7</xdr:col>
      <xdr:colOff>433387</xdr:colOff>
      <xdr:row>35</xdr:row>
      <xdr:rowOff>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50B6246B-ED79-4678-A29A-4266A4F99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123825</xdr:rowOff>
    </xdr:from>
    <xdr:to>
      <xdr:col>2</xdr:col>
      <xdr:colOff>360253</xdr:colOff>
      <xdr:row>1</xdr:row>
      <xdr:rowOff>530225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104DF905-7204-4B06-947F-A87216CA6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219074</xdr:colOff>
      <xdr:row>37</xdr:row>
      <xdr:rowOff>57149</xdr:rowOff>
    </xdr:from>
    <xdr:to>
      <xdr:col>9</xdr:col>
      <xdr:colOff>1543049</xdr:colOff>
      <xdr:row>59</xdr:row>
      <xdr:rowOff>238124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579DCEB6-A90A-770F-BAB5-1F5CB8B0D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152400</xdr:rowOff>
    </xdr:from>
    <xdr:to>
      <xdr:col>2</xdr:col>
      <xdr:colOff>388828</xdr:colOff>
      <xdr:row>1</xdr:row>
      <xdr:rowOff>558800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8D52736A-1868-4E46-B6CC-207399D86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80961</xdr:colOff>
      <xdr:row>35</xdr:row>
      <xdr:rowOff>85724</xdr:rowOff>
    </xdr:from>
    <xdr:to>
      <xdr:col>9</xdr:col>
      <xdr:colOff>714374</xdr:colOff>
      <xdr:row>54</xdr:row>
      <xdr:rowOff>19049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58D889A1-F491-DF30-53C6-6A65B1D5F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2EE75583-A86B-4331-9818-964AC19FB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23811</xdr:colOff>
      <xdr:row>35</xdr:row>
      <xdr:rowOff>257174</xdr:rowOff>
    </xdr:from>
    <xdr:to>
      <xdr:col>9</xdr:col>
      <xdr:colOff>914400</xdr:colOff>
      <xdr:row>52</xdr:row>
      <xdr:rowOff>76199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9A60344F-E62C-D336-2A05-162E7B254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161925</xdr:rowOff>
    </xdr:from>
    <xdr:to>
      <xdr:col>2</xdr:col>
      <xdr:colOff>172211</xdr:colOff>
      <xdr:row>1</xdr:row>
      <xdr:rowOff>568325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E596D21D-0D85-4269-A187-F2565EFE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198949</xdr:colOff>
      <xdr:row>20</xdr:row>
      <xdr:rowOff>145487</xdr:rowOff>
    </xdr:from>
    <xdr:to>
      <xdr:col>5</xdr:col>
      <xdr:colOff>768913</xdr:colOff>
      <xdr:row>32</xdr:row>
      <xdr:rowOff>69594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9D417931-EC68-4192-BCAE-31DC2F599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161925</xdr:rowOff>
    </xdr:from>
    <xdr:to>
      <xdr:col>2</xdr:col>
      <xdr:colOff>341203</xdr:colOff>
      <xdr:row>1</xdr:row>
      <xdr:rowOff>568325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00B0CF72-A2E3-4DAD-A9BF-35231BF3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198949</xdr:colOff>
      <xdr:row>20</xdr:row>
      <xdr:rowOff>145487</xdr:rowOff>
    </xdr:from>
    <xdr:to>
      <xdr:col>5</xdr:col>
      <xdr:colOff>768913</xdr:colOff>
      <xdr:row>32</xdr:row>
      <xdr:rowOff>69594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3E6DCECA-240C-C84D-74BE-B4F802A0E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161925</xdr:rowOff>
    </xdr:from>
    <xdr:to>
      <xdr:col>2</xdr:col>
      <xdr:colOff>369778</xdr:colOff>
      <xdr:row>1</xdr:row>
      <xdr:rowOff>568325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6CD0B240-007C-447D-A5A0-6B0BC9BF6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36</xdr:row>
      <xdr:rowOff>200024</xdr:rowOff>
    </xdr:from>
    <xdr:to>
      <xdr:col>9</xdr:col>
      <xdr:colOff>914400</xdr:colOff>
      <xdr:row>60</xdr:row>
      <xdr:rowOff>57150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7E86DF3D-731F-C45F-1F25-139DDB34A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142875</xdr:rowOff>
    </xdr:from>
    <xdr:to>
      <xdr:col>2</xdr:col>
      <xdr:colOff>312628</xdr:colOff>
      <xdr:row>1</xdr:row>
      <xdr:rowOff>549275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7AEF8394-6EFF-4AFB-A522-8F9BFBC28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52386</xdr:colOff>
      <xdr:row>29</xdr:row>
      <xdr:rowOff>266699</xdr:rowOff>
    </xdr:from>
    <xdr:to>
      <xdr:col>9</xdr:col>
      <xdr:colOff>761999</xdr:colOff>
      <xdr:row>44</xdr:row>
      <xdr:rowOff>47624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498F71B3-15BC-F8A5-3D3E-35B055678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341203</xdr:colOff>
      <xdr:row>1</xdr:row>
      <xdr:rowOff>558800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E49F3A89-A50B-4EBA-BDB6-A94D0A800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52387</xdr:colOff>
      <xdr:row>17</xdr:row>
      <xdr:rowOff>219075</xdr:rowOff>
    </xdr:from>
    <xdr:to>
      <xdr:col>5</xdr:col>
      <xdr:colOff>71437</xdr:colOff>
      <xdr:row>28</xdr:row>
      <xdr:rowOff>238125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8D25A7D7-1713-43F5-B696-454041761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17</xdr:row>
      <xdr:rowOff>209550</xdr:rowOff>
    </xdr:from>
    <xdr:ext cx="4295775" cy="2714625"/>
    <xdr:graphicFrame macro="">
      <xdr:nvGraphicFramePr>
        <xdr:cNvPr id="4" name="Chart 1" title="Gràfic">
          <a:extLst>
            <a:ext uri="{FF2B5EF4-FFF2-40B4-BE49-F238E27FC236}">
              <a16:creationId xmlns:a16="http://schemas.microsoft.com/office/drawing/2014/main" id="{BDD4EAB6-8828-4D2A-9ECB-96F0CE430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133350</xdr:colOff>
      <xdr:row>1</xdr:row>
      <xdr:rowOff>142875</xdr:rowOff>
    </xdr:from>
    <xdr:to>
      <xdr:col>2</xdr:col>
      <xdr:colOff>369778</xdr:colOff>
      <xdr:row>1</xdr:row>
      <xdr:rowOff>549275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81557BD-0F86-4331-9D86-2D7019CB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28625"/>
          <a:ext cx="1179403" cy="40640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16</xdr:row>
      <xdr:rowOff>209550</xdr:rowOff>
    </xdr:from>
    <xdr:ext cx="4295775" cy="2714625"/>
    <xdr:graphicFrame macro="">
      <xdr:nvGraphicFramePr>
        <xdr:cNvPr id="2" name="Chart 1" title="Gràfic">
          <a:extLst>
            <a:ext uri="{FF2B5EF4-FFF2-40B4-BE49-F238E27FC236}">
              <a16:creationId xmlns:a16="http://schemas.microsoft.com/office/drawing/2014/main" id="{D08BE184-A2C8-4D05-AE26-948A23127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133350</xdr:colOff>
      <xdr:row>1</xdr:row>
      <xdr:rowOff>142875</xdr:rowOff>
    </xdr:from>
    <xdr:to>
      <xdr:col>2</xdr:col>
      <xdr:colOff>369778</xdr:colOff>
      <xdr:row>1</xdr:row>
      <xdr:rowOff>549275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3CDA437-6457-48DD-A86C-5ECE08A58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28625"/>
          <a:ext cx="1179403" cy="406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152400</xdr:rowOff>
    </xdr:from>
    <xdr:to>
      <xdr:col>3</xdr:col>
      <xdr:colOff>45928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4E4E3681-DCE4-4FA1-8675-D8724309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17</xdr:row>
      <xdr:rowOff>133350</xdr:rowOff>
    </xdr:from>
    <xdr:to>
      <xdr:col>6</xdr:col>
      <xdr:colOff>257175</xdr:colOff>
      <xdr:row>27</xdr:row>
      <xdr:rowOff>228600</xdr:rowOff>
    </xdr:to>
    <xdr:graphicFrame macro="">
      <xdr:nvGraphicFramePr>
        <xdr:cNvPr id="9" name="Gràfic 2">
          <a:extLst>
            <a:ext uri="{FF2B5EF4-FFF2-40B4-BE49-F238E27FC236}">
              <a16:creationId xmlns:a16="http://schemas.microsoft.com/office/drawing/2014/main" id="{B0F1907F-A71E-4599-AE18-5350F0934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16</xdr:row>
      <xdr:rowOff>209550</xdr:rowOff>
    </xdr:from>
    <xdr:ext cx="4295775" cy="2714625"/>
    <xdr:graphicFrame macro="">
      <xdr:nvGraphicFramePr>
        <xdr:cNvPr id="2" name="Chart 1" title="Gràfic">
          <a:extLst>
            <a:ext uri="{FF2B5EF4-FFF2-40B4-BE49-F238E27FC236}">
              <a16:creationId xmlns:a16="http://schemas.microsoft.com/office/drawing/2014/main" id="{D26AE7CB-2832-4B89-BDEF-847516D45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133350</xdr:colOff>
      <xdr:row>1</xdr:row>
      <xdr:rowOff>142875</xdr:rowOff>
    </xdr:from>
    <xdr:to>
      <xdr:col>2</xdr:col>
      <xdr:colOff>369778</xdr:colOff>
      <xdr:row>1</xdr:row>
      <xdr:rowOff>549275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AE0FA2D3-F754-414C-9714-1EE321E53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28625"/>
          <a:ext cx="1179403" cy="40640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D163E05D-B1EB-4177-A7EE-1B5CA85DD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61</xdr:row>
      <xdr:rowOff>180975</xdr:rowOff>
    </xdr:from>
    <xdr:to>
      <xdr:col>5</xdr:col>
      <xdr:colOff>738187</xdr:colOff>
      <xdr:row>73</xdr:row>
      <xdr:rowOff>47625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4517B24F-3B3C-898C-0C2A-931B0FA98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152400</xdr:rowOff>
    </xdr:from>
    <xdr:to>
      <xdr:col>2</xdr:col>
      <xdr:colOff>7828</xdr:colOff>
      <xdr:row>1</xdr:row>
      <xdr:rowOff>558800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DD3D170A-6A4F-4F13-9633-F573B26E6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147636</xdr:colOff>
      <xdr:row>37</xdr:row>
      <xdr:rowOff>152400</xdr:rowOff>
    </xdr:from>
    <xdr:to>
      <xdr:col>9</xdr:col>
      <xdr:colOff>1142999</xdr:colOff>
      <xdr:row>60</xdr:row>
      <xdr:rowOff>133350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9DBFC338-6808-A9A4-ABE2-37713C63F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331678</xdr:colOff>
      <xdr:row>1</xdr:row>
      <xdr:rowOff>530225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CC912937-D373-4F12-991A-3FA36DF74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223837</xdr:colOff>
      <xdr:row>29</xdr:row>
      <xdr:rowOff>85725</xdr:rowOff>
    </xdr:from>
    <xdr:to>
      <xdr:col>5</xdr:col>
      <xdr:colOff>795337</xdr:colOff>
      <xdr:row>40</xdr:row>
      <xdr:rowOff>238125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3A6F1C72-111A-0118-E16B-2B4B56837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161925</xdr:rowOff>
    </xdr:from>
    <xdr:to>
      <xdr:col>2</xdr:col>
      <xdr:colOff>341203</xdr:colOff>
      <xdr:row>1</xdr:row>
      <xdr:rowOff>568325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AB073300-5C37-4295-82E1-466FDD63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23811</xdr:colOff>
      <xdr:row>37</xdr:row>
      <xdr:rowOff>9524</xdr:rowOff>
    </xdr:from>
    <xdr:to>
      <xdr:col>9</xdr:col>
      <xdr:colOff>1295400</xdr:colOff>
      <xdr:row>53</xdr:row>
      <xdr:rowOff>190500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D089464-9AAD-0400-2FB2-0C67C7DD0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331678</xdr:colOff>
      <xdr:row>1</xdr:row>
      <xdr:rowOff>530225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DC2441D4-0A5F-45FF-B927-DBD07D667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223837</xdr:colOff>
      <xdr:row>17</xdr:row>
      <xdr:rowOff>85725</xdr:rowOff>
    </xdr:from>
    <xdr:to>
      <xdr:col>5</xdr:col>
      <xdr:colOff>795337</xdr:colOff>
      <xdr:row>28</xdr:row>
      <xdr:rowOff>238125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26CE49B7-F12F-403D-B4F4-818B225CE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331678</xdr:colOff>
      <xdr:row>1</xdr:row>
      <xdr:rowOff>530225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BCA5E821-61BF-46CD-8398-DC43899B8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223837</xdr:colOff>
      <xdr:row>17</xdr:row>
      <xdr:rowOff>85725</xdr:rowOff>
    </xdr:from>
    <xdr:to>
      <xdr:col>5</xdr:col>
      <xdr:colOff>795337</xdr:colOff>
      <xdr:row>28</xdr:row>
      <xdr:rowOff>238125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F68F1A9C-E85F-43C1-BA5A-5C50E1E2B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1A1DDDC6-1F59-4BBA-AEE4-F8A712F09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157162</xdr:colOff>
      <xdr:row>21</xdr:row>
      <xdr:rowOff>114300</xdr:rowOff>
    </xdr:from>
    <xdr:to>
      <xdr:col>5</xdr:col>
      <xdr:colOff>728662</xdr:colOff>
      <xdr:row>32</xdr:row>
      <xdr:rowOff>133350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D775453-8668-686D-0B00-62607ADDF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DC8FFA7E-6EBA-448F-8599-B965E7441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157162</xdr:colOff>
      <xdr:row>18</xdr:row>
      <xdr:rowOff>114300</xdr:rowOff>
    </xdr:from>
    <xdr:to>
      <xdr:col>5</xdr:col>
      <xdr:colOff>728662</xdr:colOff>
      <xdr:row>29</xdr:row>
      <xdr:rowOff>133350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464A7C77-24E6-4150-A8C6-ED0010DBA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341203</xdr:colOff>
      <xdr:row>1</xdr:row>
      <xdr:rowOff>558800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AC62364E-21E1-428E-8584-76B2F8A04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90487</xdr:colOff>
      <xdr:row>28</xdr:row>
      <xdr:rowOff>190499</xdr:rowOff>
    </xdr:from>
    <xdr:to>
      <xdr:col>9</xdr:col>
      <xdr:colOff>695325</xdr:colOff>
      <xdr:row>48</xdr:row>
      <xdr:rowOff>219074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1D7D47E8-FB30-DC6E-CB66-31EE5AF71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152400</xdr:rowOff>
    </xdr:from>
    <xdr:to>
      <xdr:col>3</xdr:col>
      <xdr:colOff>45928</xdr:colOff>
      <xdr:row>1</xdr:row>
      <xdr:rowOff>558800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DD786E30-64CB-4FE6-98CE-C682D0414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17</xdr:row>
      <xdr:rowOff>133350</xdr:rowOff>
    </xdr:from>
    <xdr:to>
      <xdr:col>6</xdr:col>
      <xdr:colOff>257175</xdr:colOff>
      <xdr:row>27</xdr:row>
      <xdr:rowOff>228600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B98EF74D-A702-4D6A-A2D3-F4A82AE60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B3F49E1E-B6A4-43B7-8AEE-ED53838AC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195262</xdr:colOff>
      <xdr:row>28</xdr:row>
      <xdr:rowOff>171450</xdr:rowOff>
    </xdr:from>
    <xdr:to>
      <xdr:col>8</xdr:col>
      <xdr:colOff>114300</xdr:colOff>
      <xdr:row>44</xdr:row>
      <xdr:rowOff>152400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8E7A62F7-CD1F-A813-1466-D3D468164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133350</xdr:rowOff>
    </xdr:from>
    <xdr:to>
      <xdr:col>2</xdr:col>
      <xdr:colOff>369778</xdr:colOff>
      <xdr:row>1</xdr:row>
      <xdr:rowOff>539750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6895C4CA-7923-469B-BC02-1F3CE97F0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185737</xdr:colOff>
      <xdr:row>28</xdr:row>
      <xdr:rowOff>209550</xdr:rowOff>
    </xdr:from>
    <xdr:to>
      <xdr:col>9</xdr:col>
      <xdr:colOff>409575</xdr:colOff>
      <xdr:row>49</xdr:row>
      <xdr:rowOff>152400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74D3889F-9505-830F-D77E-925363384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142875</xdr:rowOff>
    </xdr:from>
    <xdr:to>
      <xdr:col>2</xdr:col>
      <xdr:colOff>322153</xdr:colOff>
      <xdr:row>1</xdr:row>
      <xdr:rowOff>549275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CDDC08FE-F7F4-4C13-98B6-007CDC460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8</xdr:col>
      <xdr:colOff>1517651</xdr:colOff>
      <xdr:row>46</xdr:row>
      <xdr:rowOff>44451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126CDB6-E64E-4E6B-8039-DCE748458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341203</xdr:colOff>
      <xdr:row>1</xdr:row>
      <xdr:rowOff>558800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CE3291A7-7195-4B5B-A225-C91653945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80961</xdr:colOff>
      <xdr:row>29</xdr:row>
      <xdr:rowOff>85725</xdr:rowOff>
    </xdr:from>
    <xdr:to>
      <xdr:col>8</xdr:col>
      <xdr:colOff>390524</xdr:colOff>
      <xdr:row>51</xdr:row>
      <xdr:rowOff>28575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66528BF2-4B25-FDC3-3B60-BFF7A0E72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142875</xdr:rowOff>
    </xdr:from>
    <xdr:to>
      <xdr:col>2</xdr:col>
      <xdr:colOff>360253</xdr:colOff>
      <xdr:row>1</xdr:row>
      <xdr:rowOff>549275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C248946F-1998-440E-853B-B52C31D8A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2862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185737</xdr:colOff>
      <xdr:row>36</xdr:row>
      <xdr:rowOff>209549</xdr:rowOff>
    </xdr:from>
    <xdr:to>
      <xdr:col>8</xdr:col>
      <xdr:colOff>447675</xdr:colOff>
      <xdr:row>53</xdr:row>
      <xdr:rowOff>85724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F25BF9D3-9BF3-FB4C-5CEF-271161212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331678</xdr:colOff>
      <xdr:row>1</xdr:row>
      <xdr:rowOff>530225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6E63CC83-0FF3-473F-AACC-BEE6D506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223837</xdr:colOff>
      <xdr:row>18</xdr:row>
      <xdr:rowOff>85725</xdr:rowOff>
    </xdr:from>
    <xdr:to>
      <xdr:col>5</xdr:col>
      <xdr:colOff>795337</xdr:colOff>
      <xdr:row>29</xdr:row>
      <xdr:rowOff>238125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F63DC2E8-0B51-44BF-9D43-C10884264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36</xdr:row>
      <xdr:rowOff>209550</xdr:rowOff>
    </xdr:from>
    <xdr:ext cx="4295775" cy="2714625"/>
    <xdr:graphicFrame macro="">
      <xdr:nvGraphicFramePr>
        <xdr:cNvPr id="4" name="Chart 1" title="Gràfic">
          <a:extLst>
            <a:ext uri="{FF2B5EF4-FFF2-40B4-BE49-F238E27FC236}">
              <a16:creationId xmlns:a16="http://schemas.microsoft.com/office/drawing/2014/main" id="{1ABD1748-F3B1-4140-BCEB-2873AAE1D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123825</xdr:colOff>
      <xdr:row>1</xdr:row>
      <xdr:rowOff>123825</xdr:rowOff>
    </xdr:from>
    <xdr:to>
      <xdr:col>2</xdr:col>
      <xdr:colOff>360253</xdr:colOff>
      <xdr:row>1</xdr:row>
      <xdr:rowOff>530225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B2496E92-F650-4E17-8709-4FBD0C545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09575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15874</xdr:colOff>
      <xdr:row>34</xdr:row>
      <xdr:rowOff>244474</xdr:rowOff>
    </xdr:from>
    <xdr:to>
      <xdr:col>12</xdr:col>
      <xdr:colOff>38100</xdr:colOff>
      <xdr:row>63</xdr:row>
      <xdr:rowOff>241300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F51422E-6499-1B2E-851F-D52984604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161925</xdr:rowOff>
    </xdr:from>
    <xdr:to>
      <xdr:col>2</xdr:col>
      <xdr:colOff>322153</xdr:colOff>
      <xdr:row>1</xdr:row>
      <xdr:rowOff>568325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AA53E428-EEE9-48F6-92EF-DD6095666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47675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187324</xdr:colOff>
      <xdr:row>38</xdr:row>
      <xdr:rowOff>41274</xdr:rowOff>
    </xdr:from>
    <xdr:to>
      <xdr:col>8</xdr:col>
      <xdr:colOff>457199</xdr:colOff>
      <xdr:row>51</xdr:row>
      <xdr:rowOff>228599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CBF5794-5DA3-E6FE-94E8-A679D175E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190500</xdr:rowOff>
    </xdr:from>
    <xdr:to>
      <xdr:col>2</xdr:col>
      <xdr:colOff>331678</xdr:colOff>
      <xdr:row>1</xdr:row>
      <xdr:rowOff>596900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22A6744E-EBF9-4284-87FB-4D687ED44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180974</xdr:colOff>
      <xdr:row>36</xdr:row>
      <xdr:rowOff>285749</xdr:rowOff>
    </xdr:from>
    <xdr:to>
      <xdr:col>9</xdr:col>
      <xdr:colOff>876299</xdr:colOff>
      <xdr:row>57</xdr:row>
      <xdr:rowOff>47624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6D4D0F8-E48F-3374-B594-B36F5BBAF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152400</xdr:rowOff>
    </xdr:from>
    <xdr:to>
      <xdr:col>2</xdr:col>
      <xdr:colOff>322153</xdr:colOff>
      <xdr:row>1</xdr:row>
      <xdr:rowOff>558800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12E8356-37A1-4E84-993C-BD5E88FBD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214311</xdr:colOff>
      <xdr:row>40</xdr:row>
      <xdr:rowOff>152400</xdr:rowOff>
    </xdr:from>
    <xdr:to>
      <xdr:col>8</xdr:col>
      <xdr:colOff>809624</xdr:colOff>
      <xdr:row>59</xdr:row>
      <xdr:rowOff>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52688B63-FE70-0915-5202-D21AE00EB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46700</xdr:rowOff>
    </xdr:from>
    <xdr:to>
      <xdr:col>2</xdr:col>
      <xdr:colOff>438150</xdr:colOff>
      <xdr:row>1</xdr:row>
      <xdr:rowOff>530225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C9DB6E31-D46C-4D85-A60A-6F668FE7A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08625"/>
          <a:ext cx="1038225" cy="483525"/>
        </a:xfrm>
        <a:prstGeom prst="rect">
          <a:avLst/>
        </a:prstGeom>
      </xdr:spPr>
    </xdr:pic>
    <xdr:clientData/>
  </xdr:twoCellAnchor>
  <xdr:twoCellAnchor>
    <xdr:from>
      <xdr:col>0</xdr:col>
      <xdr:colOff>242887</xdr:colOff>
      <xdr:row>19</xdr:row>
      <xdr:rowOff>76200</xdr:rowOff>
    </xdr:from>
    <xdr:to>
      <xdr:col>5</xdr:col>
      <xdr:colOff>623887</xdr:colOff>
      <xdr:row>36</xdr:row>
      <xdr:rowOff>66675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F918DBE9-8B41-21D6-CE9D-0375321C90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2</xdr:col>
      <xdr:colOff>341203</xdr:colOff>
      <xdr:row>1</xdr:row>
      <xdr:rowOff>539750</xdr:rowOff>
    </xdr:to>
    <xdr:pic>
      <xdr:nvPicPr>
        <xdr:cNvPr id="4" name="Imatge 4">
          <a:extLst>
            <a:ext uri="{FF2B5EF4-FFF2-40B4-BE49-F238E27FC236}">
              <a16:creationId xmlns:a16="http://schemas.microsoft.com/office/drawing/2014/main" id="{B081D269-0AFE-4E99-9A45-DCE4270CD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138112</xdr:colOff>
      <xdr:row>16</xdr:row>
      <xdr:rowOff>209550</xdr:rowOff>
    </xdr:from>
    <xdr:to>
      <xdr:col>5</xdr:col>
      <xdr:colOff>709612</xdr:colOff>
      <xdr:row>28</xdr:row>
      <xdr:rowOff>114300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C36535B7-430B-CC04-EB8B-3EF563A38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133350</xdr:rowOff>
    </xdr:from>
    <xdr:to>
      <xdr:col>1</xdr:col>
      <xdr:colOff>1179403</xdr:colOff>
      <xdr:row>1</xdr:row>
      <xdr:rowOff>682625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F723C410-659C-4A0B-B416-30896E728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1</xdr:col>
      <xdr:colOff>4762</xdr:colOff>
      <xdr:row>16</xdr:row>
      <xdr:rowOff>209550</xdr:rowOff>
    </xdr:from>
    <xdr:to>
      <xdr:col>8</xdr:col>
      <xdr:colOff>723900</xdr:colOff>
      <xdr:row>31</xdr:row>
      <xdr:rowOff>28575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5833932E-F29D-4E43-9675-F19AC31FD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2</xdr:col>
      <xdr:colOff>341203</xdr:colOff>
      <xdr:row>1</xdr:row>
      <xdr:rowOff>539750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64D9AB35-7B71-4BC8-9BDE-A6DD2ED58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1910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29</xdr:row>
      <xdr:rowOff>133350</xdr:rowOff>
    </xdr:from>
    <xdr:to>
      <xdr:col>9</xdr:col>
      <xdr:colOff>447674</xdr:colOff>
      <xdr:row>46</xdr:row>
      <xdr:rowOff>95250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F05EDAA1-4C61-868B-5764-3DD1E5E548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341203</xdr:colOff>
      <xdr:row>1</xdr:row>
      <xdr:rowOff>558800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2A769D25-9C8F-464A-8004-486AE88B8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138111</xdr:colOff>
      <xdr:row>29</xdr:row>
      <xdr:rowOff>95249</xdr:rowOff>
    </xdr:from>
    <xdr:to>
      <xdr:col>8</xdr:col>
      <xdr:colOff>314324</xdr:colOff>
      <xdr:row>47</xdr:row>
      <xdr:rowOff>123824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71BD66F5-42DB-0891-470A-D463F441F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46700</xdr:rowOff>
    </xdr:from>
    <xdr:to>
      <xdr:col>2</xdr:col>
      <xdr:colOff>438150</xdr:colOff>
      <xdr:row>1</xdr:row>
      <xdr:rowOff>530225</xdr:rowOff>
    </xdr:to>
    <xdr:pic>
      <xdr:nvPicPr>
        <xdr:cNvPr id="2" name="Imatge 4">
          <a:extLst>
            <a:ext uri="{FF2B5EF4-FFF2-40B4-BE49-F238E27FC236}">
              <a16:creationId xmlns:a16="http://schemas.microsoft.com/office/drawing/2014/main" id="{9B00F496-8F3C-4B26-921C-442D6979C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18150"/>
          <a:ext cx="1038225" cy="483525"/>
        </a:xfrm>
        <a:prstGeom prst="rect">
          <a:avLst/>
        </a:prstGeom>
      </xdr:spPr>
    </xdr:pic>
    <xdr:clientData/>
  </xdr:twoCellAnchor>
  <xdr:twoCellAnchor>
    <xdr:from>
      <xdr:col>0</xdr:col>
      <xdr:colOff>242887</xdr:colOff>
      <xdr:row>19</xdr:row>
      <xdr:rowOff>76200</xdr:rowOff>
    </xdr:from>
    <xdr:to>
      <xdr:col>5</xdr:col>
      <xdr:colOff>623887</xdr:colOff>
      <xdr:row>36</xdr:row>
      <xdr:rowOff>66675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94665-584B-4A2F-8241-7EF4C64F4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152400</xdr:rowOff>
    </xdr:from>
    <xdr:to>
      <xdr:col>2</xdr:col>
      <xdr:colOff>379303</xdr:colOff>
      <xdr:row>1</xdr:row>
      <xdr:rowOff>558800</xdr:rowOff>
    </xdr:to>
    <xdr:pic>
      <xdr:nvPicPr>
        <xdr:cNvPr id="3" name="Imatge 4">
          <a:extLst>
            <a:ext uri="{FF2B5EF4-FFF2-40B4-BE49-F238E27FC236}">
              <a16:creationId xmlns:a16="http://schemas.microsoft.com/office/drawing/2014/main" id="{1D40490F-C579-4870-A0B5-B90A33BA0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38150"/>
          <a:ext cx="1179403" cy="4064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29</xdr:row>
      <xdr:rowOff>200024</xdr:rowOff>
    </xdr:from>
    <xdr:to>
      <xdr:col>9</xdr:col>
      <xdr:colOff>2000250</xdr:colOff>
      <xdr:row>53</xdr:row>
      <xdr:rowOff>171450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72F0C260-AB2D-B9F8-12F2-728CDCB16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b.cat/web/estudiar/graus/sistema-de-garantia-interna-de-qualitat-del-centre/sgiq-de-la-facultat-1345722993885.html" TargetMode="External"/><Relationship Id="rId13" Type="http://schemas.openxmlformats.org/officeDocument/2006/relationships/hyperlink" Target="https://www.uab.cat/web/estudiar/graus/sistema-de-garantia-interna-de-qualitat-del-centre/sgiq-de-la-facultat-1345722993885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uab.cat/web/estudiar/graus/sistema-de-garantia-interna-de-qualitat-del-centre/sgiq-de-la-facultat-1345722993885.html" TargetMode="External"/><Relationship Id="rId7" Type="http://schemas.openxmlformats.org/officeDocument/2006/relationships/hyperlink" Target="https://www.uab.cat/web/estudiar/graus/sistema-de-garantia-interna-de-qualitat-del-centre/sgiq-de-la-facultat-1345722993885.html" TargetMode="External"/><Relationship Id="rId12" Type="http://schemas.openxmlformats.org/officeDocument/2006/relationships/hyperlink" Target="https://www.uab.cat/web/estudiar/graus/sistema-de-garantia-interna-de-qualitat-del-centre/sgiq-de-la-facultat-1345722993885.html" TargetMode="External"/><Relationship Id="rId17" Type="http://schemas.openxmlformats.org/officeDocument/2006/relationships/hyperlink" Target="https://www.uab.cat/web/estudiar/graus/sistema-de-garantia-interna-de-qualitat-del-centre/sgiq-de-la-facultat-1345722993885.html" TargetMode="External"/><Relationship Id="rId2" Type="http://schemas.openxmlformats.org/officeDocument/2006/relationships/hyperlink" Target="https://www.uab.cat/web/estudiar/graus/sistema-de-garantia-interna-de-qualitat-del-centre/sgiq-de-la-facultat-1345722993885.html" TargetMode="External"/><Relationship Id="rId16" Type="http://schemas.openxmlformats.org/officeDocument/2006/relationships/hyperlink" Target="https://www.uab.cat/web/estudiar/graus/sistema-de-garantia-interna-de-qualitat-del-centre/sgiq-de-la-facultat-1345722993885.html" TargetMode="External"/><Relationship Id="rId1" Type="http://schemas.openxmlformats.org/officeDocument/2006/relationships/hyperlink" Target="https://www.uab.cat/web/estudiar/graus/sistema-de-garantia-interna-de-qualitat-del-centre/sgiq-de-la-facultat-1345722993885.html" TargetMode="External"/><Relationship Id="rId6" Type="http://schemas.openxmlformats.org/officeDocument/2006/relationships/hyperlink" Target="https://www.uab.cat/web/estudiar/graus/sistema-de-garantia-interna-de-qualitat-del-centre/sgiq-de-la-facultat-1345722993885.html" TargetMode="External"/><Relationship Id="rId11" Type="http://schemas.openxmlformats.org/officeDocument/2006/relationships/hyperlink" Target="https://www.uab.cat/web/estudiar/graus/sistema-de-garantia-interna-de-qualitat-del-centre/sgiq-de-la-facultat-1345722993885.html" TargetMode="External"/><Relationship Id="rId5" Type="http://schemas.openxmlformats.org/officeDocument/2006/relationships/hyperlink" Target="https://www.uab.cat/web/estudiar/graus/sistema-de-garantia-interna-de-qualitat-del-centre/sgiq-de-la-facultat-1345722993885.html" TargetMode="External"/><Relationship Id="rId15" Type="http://schemas.openxmlformats.org/officeDocument/2006/relationships/hyperlink" Target="https://www.uab.cat/web/estudiar/graus/sistema-de-garantia-interna-de-qualitat-del-centre/sgiq-de-la-facultat-1345722993885.html" TargetMode="External"/><Relationship Id="rId10" Type="http://schemas.openxmlformats.org/officeDocument/2006/relationships/hyperlink" Target="https://www.uab.cat/web/estudiar/graus/sistema-de-garantia-interna-de-qualitat-del-centre/sgiq-de-la-facultat-1345722993885.html" TargetMode="External"/><Relationship Id="rId4" Type="http://schemas.openxmlformats.org/officeDocument/2006/relationships/hyperlink" Target="https://www.uab.cat/web/estudiar/graus/sistema-de-garantia-interna-de-qualitat-del-centre/sgiq-de-la-facultat-1345722993885.html" TargetMode="External"/><Relationship Id="rId9" Type="http://schemas.openxmlformats.org/officeDocument/2006/relationships/hyperlink" Target="https://www.uab.cat/web/estudiar/graus/sistema-de-garantia-interna-de-qualitat-del-centre/sgiq-de-la-facultat-1345722993885.html" TargetMode="External"/><Relationship Id="rId14" Type="http://schemas.openxmlformats.org/officeDocument/2006/relationships/hyperlink" Target="https://www.uab.cat/web/estudiar/graus/sistema-de-garantia-interna-de-qualitat-del-centre/sgiq-de-la-facultat-134572299388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23F7-9896-464F-B09B-244B5951FE99}">
  <sheetPr>
    <tabColor rgb="FF66FF33"/>
  </sheetPr>
  <dimension ref="A1:G80"/>
  <sheetViews>
    <sheetView tabSelected="1" workbookViewId="0">
      <selection activeCell="J46" sqref="J46"/>
    </sheetView>
  </sheetViews>
  <sheetFormatPr defaultRowHeight="12.75" x14ac:dyDescent="0.2"/>
  <cols>
    <col min="1" max="1" width="15" bestFit="1" customWidth="1"/>
    <col min="2" max="2" width="26.140625" customWidth="1"/>
    <col min="3" max="3" width="13.7109375" customWidth="1"/>
    <col min="4" max="4" width="16" customWidth="1"/>
    <col min="5" max="5" width="17.85546875" customWidth="1"/>
    <col min="6" max="6" width="19.7109375" customWidth="1"/>
    <col min="7" max="7" width="30" customWidth="1"/>
  </cols>
  <sheetData>
    <row r="1" spans="1:7" ht="13.5" x14ac:dyDescent="0.25">
      <c r="A1" s="83"/>
      <c r="B1" s="83"/>
      <c r="C1" s="86"/>
      <c r="D1" s="86"/>
      <c r="E1" s="86"/>
      <c r="F1" s="67"/>
      <c r="G1" s="41"/>
    </row>
    <row r="2" spans="1:7" ht="12.75" customHeight="1" x14ac:dyDescent="0.2">
      <c r="A2" s="863"/>
      <c r="B2" s="864"/>
      <c r="C2" s="862" t="s">
        <v>630</v>
      </c>
      <c r="D2" s="862"/>
      <c r="E2" s="862"/>
      <c r="F2" s="862"/>
      <c r="G2" s="862"/>
    </row>
    <row r="3" spans="1:7" ht="12.75" customHeight="1" x14ac:dyDescent="0.2">
      <c r="A3" s="864"/>
      <c r="B3" s="864"/>
      <c r="C3" s="862"/>
      <c r="D3" s="862"/>
      <c r="E3" s="862"/>
      <c r="F3" s="862"/>
      <c r="G3" s="862"/>
    </row>
    <row r="4" spans="1:7" ht="81" customHeight="1" x14ac:dyDescent="0.2">
      <c r="A4" s="864"/>
      <c r="B4" s="864"/>
      <c r="C4" s="862"/>
      <c r="D4" s="862"/>
      <c r="E4" s="862"/>
      <c r="F4" s="862"/>
      <c r="G4" s="862"/>
    </row>
    <row r="5" spans="1:7" ht="16.5" customHeight="1" x14ac:dyDescent="0.2">
      <c r="A5" s="66"/>
      <c r="B5" s="66"/>
      <c r="C5" s="66"/>
      <c r="D5" s="84"/>
      <c r="E5" s="84"/>
      <c r="F5" s="66"/>
      <c r="G5" s="339"/>
    </row>
    <row r="6" spans="1:7" ht="30" x14ac:dyDescent="0.2">
      <c r="A6" s="82" t="s">
        <v>0</v>
      </c>
      <c r="B6" s="82" t="s">
        <v>1</v>
      </c>
      <c r="C6" s="81" t="s">
        <v>2</v>
      </c>
      <c r="D6" s="81" t="s">
        <v>3</v>
      </c>
      <c r="E6" s="81" t="s">
        <v>4</v>
      </c>
      <c r="F6" s="85" t="s">
        <v>5</v>
      </c>
      <c r="G6" s="534" t="s">
        <v>6</v>
      </c>
    </row>
    <row r="7" spans="1:7" ht="54" x14ac:dyDescent="0.2">
      <c r="A7" s="383" t="s">
        <v>7</v>
      </c>
      <c r="B7" s="333" t="s">
        <v>8</v>
      </c>
      <c r="C7" s="25" t="s">
        <v>9</v>
      </c>
      <c r="D7" s="25" t="s">
        <v>10</v>
      </c>
      <c r="E7" s="52">
        <v>0.8</v>
      </c>
      <c r="F7" s="333" t="s">
        <v>11</v>
      </c>
      <c r="G7" s="865" t="s">
        <v>628</v>
      </c>
    </row>
    <row r="8" spans="1:7" ht="54" x14ac:dyDescent="0.2">
      <c r="A8" s="381" t="s">
        <v>12</v>
      </c>
      <c r="B8" s="333" t="s">
        <v>13</v>
      </c>
      <c r="C8" s="25" t="s">
        <v>9</v>
      </c>
      <c r="D8" s="25" t="s">
        <v>10</v>
      </c>
      <c r="E8" s="52">
        <v>0.8</v>
      </c>
      <c r="F8" s="333" t="s">
        <v>11</v>
      </c>
      <c r="G8" s="865" t="s">
        <v>629</v>
      </c>
    </row>
    <row r="9" spans="1:7" ht="81" x14ac:dyDescent="0.2">
      <c r="A9" s="334" t="s">
        <v>14</v>
      </c>
      <c r="B9" s="338" t="s">
        <v>15</v>
      </c>
      <c r="C9" s="25" t="s">
        <v>9</v>
      </c>
      <c r="D9" s="25" t="s">
        <v>10</v>
      </c>
      <c r="E9" s="25" t="s">
        <v>16</v>
      </c>
      <c r="F9" s="333" t="s">
        <v>11</v>
      </c>
      <c r="G9" s="865" t="s">
        <v>17</v>
      </c>
    </row>
    <row r="10" spans="1:7" ht="67.5" x14ac:dyDescent="0.25">
      <c r="A10" s="334" t="s">
        <v>18</v>
      </c>
      <c r="B10" s="337" t="s">
        <v>19</v>
      </c>
      <c r="C10" s="25" t="s">
        <v>9</v>
      </c>
      <c r="D10" s="25" t="s">
        <v>10</v>
      </c>
      <c r="E10" s="52">
        <v>0.9</v>
      </c>
      <c r="F10" s="333" t="s">
        <v>11</v>
      </c>
      <c r="G10" s="865" t="s">
        <v>17</v>
      </c>
    </row>
    <row r="11" spans="1:7" ht="81" x14ac:dyDescent="0.2">
      <c r="A11" s="381" t="s">
        <v>20</v>
      </c>
      <c r="B11" s="333" t="s">
        <v>21</v>
      </c>
      <c r="C11" s="25" t="s">
        <v>22</v>
      </c>
      <c r="D11" s="25" t="s">
        <v>10</v>
      </c>
      <c r="E11" s="52">
        <v>0.9</v>
      </c>
      <c r="F11" s="333" t="s">
        <v>23</v>
      </c>
      <c r="G11" s="865" t="s">
        <v>629</v>
      </c>
    </row>
    <row r="12" spans="1:7" ht="81" x14ac:dyDescent="0.2">
      <c r="A12" s="334" t="s">
        <v>24</v>
      </c>
      <c r="B12" s="333" t="s">
        <v>25</v>
      </c>
      <c r="C12" s="25" t="s">
        <v>22</v>
      </c>
      <c r="D12" s="25" t="s">
        <v>10</v>
      </c>
      <c r="E12" s="25" t="s">
        <v>26</v>
      </c>
      <c r="F12" s="333" t="s">
        <v>23</v>
      </c>
      <c r="G12" s="865" t="s">
        <v>628</v>
      </c>
    </row>
    <row r="13" spans="1:7" ht="81" x14ac:dyDescent="0.25">
      <c r="A13" s="334" t="s">
        <v>27</v>
      </c>
      <c r="B13" s="528" t="s">
        <v>28</v>
      </c>
      <c r="C13" s="25" t="s">
        <v>22</v>
      </c>
      <c r="D13" s="25" t="s">
        <v>606</v>
      </c>
      <c r="E13" s="25" t="s">
        <v>26</v>
      </c>
      <c r="F13" s="333" t="s">
        <v>23</v>
      </c>
      <c r="G13" s="865" t="s">
        <v>624</v>
      </c>
    </row>
    <row r="14" spans="1:7" ht="71.25" x14ac:dyDescent="0.3">
      <c r="A14" s="381" t="s">
        <v>29</v>
      </c>
      <c r="B14" s="333" t="s">
        <v>30</v>
      </c>
      <c r="C14" s="335" t="s">
        <v>31</v>
      </c>
      <c r="D14" s="25" t="s">
        <v>10</v>
      </c>
      <c r="E14" s="25" t="s">
        <v>32</v>
      </c>
      <c r="F14" s="333" t="s">
        <v>33</v>
      </c>
      <c r="G14" s="865" t="s">
        <v>626</v>
      </c>
    </row>
    <row r="15" spans="1:7" ht="71.25" x14ac:dyDescent="0.3">
      <c r="A15" s="381" t="s">
        <v>34</v>
      </c>
      <c r="B15" s="336" t="s">
        <v>35</v>
      </c>
      <c r="C15" s="335" t="s">
        <v>31</v>
      </c>
      <c r="D15" s="25" t="s">
        <v>10</v>
      </c>
      <c r="E15" s="25" t="s">
        <v>36</v>
      </c>
      <c r="F15" s="333" t="s">
        <v>33</v>
      </c>
      <c r="G15" s="865" t="s">
        <v>626</v>
      </c>
    </row>
    <row r="16" spans="1:7" ht="71.25" x14ac:dyDescent="0.3">
      <c r="A16" s="381" t="s">
        <v>37</v>
      </c>
      <c r="B16" s="336" t="s">
        <v>38</v>
      </c>
      <c r="C16" s="335" t="s">
        <v>31</v>
      </c>
      <c r="D16" s="25" t="s">
        <v>10</v>
      </c>
      <c r="E16" s="25" t="s">
        <v>39</v>
      </c>
      <c r="F16" s="333" t="s">
        <v>33</v>
      </c>
      <c r="G16" s="865" t="s">
        <v>627</v>
      </c>
    </row>
    <row r="17" spans="1:7" ht="71.25" x14ac:dyDescent="0.3">
      <c r="A17" s="381" t="s">
        <v>40</v>
      </c>
      <c r="B17" s="336" t="s">
        <v>41</v>
      </c>
      <c r="C17" s="335" t="s">
        <v>31</v>
      </c>
      <c r="D17" s="25" t="s">
        <v>10</v>
      </c>
      <c r="E17" s="25" t="s">
        <v>42</v>
      </c>
      <c r="F17" s="333" t="s">
        <v>33</v>
      </c>
      <c r="G17" s="865" t="s">
        <v>627</v>
      </c>
    </row>
    <row r="18" spans="1:7" ht="85.5" x14ac:dyDescent="0.3">
      <c r="A18" s="381" t="s">
        <v>43</v>
      </c>
      <c r="B18" s="529" t="s">
        <v>44</v>
      </c>
      <c r="C18" s="335" t="s">
        <v>31</v>
      </c>
      <c r="D18" s="25" t="s">
        <v>10</v>
      </c>
      <c r="E18" s="25" t="s">
        <v>45</v>
      </c>
      <c r="F18" s="333" t="s">
        <v>33</v>
      </c>
      <c r="G18" s="865" t="s">
        <v>627</v>
      </c>
    </row>
    <row r="19" spans="1:7" ht="71.25" x14ac:dyDescent="0.3">
      <c r="A19" s="381" t="s">
        <v>46</v>
      </c>
      <c r="B19" s="337" t="s">
        <v>47</v>
      </c>
      <c r="C19" s="335" t="s">
        <v>31</v>
      </c>
      <c r="D19" s="25" t="s">
        <v>608</v>
      </c>
      <c r="E19" s="25" t="s">
        <v>45</v>
      </c>
      <c r="F19" s="333" t="s">
        <v>33</v>
      </c>
      <c r="G19" s="865" t="s">
        <v>627</v>
      </c>
    </row>
    <row r="20" spans="1:7" ht="71.25" x14ac:dyDescent="0.3">
      <c r="A20" s="381" t="s">
        <v>48</v>
      </c>
      <c r="B20" s="503" t="s">
        <v>49</v>
      </c>
      <c r="C20" s="335" t="s">
        <v>31</v>
      </c>
      <c r="D20" s="25" t="s">
        <v>10</v>
      </c>
      <c r="E20" s="25" t="s">
        <v>50</v>
      </c>
      <c r="F20" s="333" t="s">
        <v>33</v>
      </c>
      <c r="G20" s="865" t="s">
        <v>627</v>
      </c>
    </row>
    <row r="21" spans="1:7" ht="54" x14ac:dyDescent="0.2">
      <c r="A21" s="381" t="s">
        <v>51</v>
      </c>
      <c r="B21" s="333" t="s">
        <v>52</v>
      </c>
      <c r="C21" s="25" t="s">
        <v>22</v>
      </c>
      <c r="D21" s="25" t="s">
        <v>53</v>
      </c>
      <c r="E21" s="52">
        <v>1</v>
      </c>
      <c r="F21" s="333" t="s">
        <v>54</v>
      </c>
      <c r="G21" s="865" t="s">
        <v>627</v>
      </c>
    </row>
    <row r="22" spans="1:7" ht="54" x14ac:dyDescent="0.2">
      <c r="A22" s="381" t="s">
        <v>55</v>
      </c>
      <c r="B22" s="333" t="s">
        <v>56</v>
      </c>
      <c r="C22" s="25" t="s">
        <v>22</v>
      </c>
      <c r="D22" s="25" t="s">
        <v>10</v>
      </c>
      <c r="E22" s="52" t="s">
        <v>42</v>
      </c>
      <c r="F22" s="333" t="s">
        <v>54</v>
      </c>
      <c r="G22" s="865" t="s">
        <v>624</v>
      </c>
    </row>
    <row r="23" spans="1:7" ht="81" x14ac:dyDescent="0.2">
      <c r="A23" s="381" t="s">
        <v>57</v>
      </c>
      <c r="B23" s="333" t="s">
        <v>58</v>
      </c>
      <c r="C23" s="25" t="s">
        <v>22</v>
      </c>
      <c r="D23" s="25" t="s">
        <v>10</v>
      </c>
      <c r="E23" s="52" t="s">
        <v>59</v>
      </c>
      <c r="F23" s="333" t="s">
        <v>60</v>
      </c>
      <c r="G23" s="865" t="s">
        <v>622</v>
      </c>
    </row>
    <row r="24" spans="1:7" ht="81" x14ac:dyDescent="0.2">
      <c r="A24" s="381" t="s">
        <v>61</v>
      </c>
      <c r="B24" s="333" t="s">
        <v>62</v>
      </c>
      <c r="C24" s="25" t="s">
        <v>22</v>
      </c>
      <c r="D24" s="25" t="s">
        <v>10</v>
      </c>
      <c r="E24" s="52" t="s">
        <v>59</v>
      </c>
      <c r="F24" s="333" t="s">
        <v>54</v>
      </c>
      <c r="G24" s="865" t="s">
        <v>622</v>
      </c>
    </row>
    <row r="25" spans="1:7" ht="67.5" x14ac:dyDescent="0.2">
      <c r="A25" s="334" t="s">
        <v>63</v>
      </c>
      <c r="B25" s="338" t="s">
        <v>64</v>
      </c>
      <c r="C25" s="25" t="s">
        <v>22</v>
      </c>
      <c r="D25" s="25" t="s">
        <v>609</v>
      </c>
      <c r="E25" s="52" t="s">
        <v>65</v>
      </c>
      <c r="F25" s="333" t="s">
        <v>54</v>
      </c>
      <c r="G25" s="865" t="s">
        <v>17</v>
      </c>
    </row>
    <row r="26" spans="1:7" ht="81" x14ac:dyDescent="0.2">
      <c r="A26" s="381" t="s">
        <v>66</v>
      </c>
      <c r="B26" s="333" t="s">
        <v>67</v>
      </c>
      <c r="C26" s="25" t="s">
        <v>22</v>
      </c>
      <c r="D26" s="25" t="s">
        <v>10</v>
      </c>
      <c r="E26" s="25" t="s">
        <v>68</v>
      </c>
      <c r="F26" s="333" t="s">
        <v>60</v>
      </c>
      <c r="G26" s="865" t="s">
        <v>622</v>
      </c>
    </row>
    <row r="27" spans="1:7" ht="81" x14ac:dyDescent="0.3">
      <c r="A27" s="381" t="s">
        <v>69</v>
      </c>
      <c r="B27" s="333" t="s">
        <v>610</v>
      </c>
      <c r="C27" s="335" t="s">
        <v>31</v>
      </c>
      <c r="D27" s="25" t="s">
        <v>70</v>
      </c>
      <c r="E27" s="25">
        <v>10</v>
      </c>
      <c r="F27" s="340" t="s">
        <v>71</v>
      </c>
      <c r="G27" s="865" t="s">
        <v>627</v>
      </c>
    </row>
    <row r="28" spans="1:7" ht="71.25" x14ac:dyDescent="0.3">
      <c r="A28" s="381" t="s">
        <v>72</v>
      </c>
      <c r="B28" s="333" t="s">
        <v>73</v>
      </c>
      <c r="C28" s="335" t="s">
        <v>31</v>
      </c>
      <c r="D28" s="25" t="s">
        <v>10</v>
      </c>
      <c r="E28" s="25" t="s">
        <v>59</v>
      </c>
      <c r="F28" s="340" t="s">
        <v>71</v>
      </c>
      <c r="G28" s="865" t="s">
        <v>622</v>
      </c>
    </row>
    <row r="29" spans="1:7" ht="67.5" x14ac:dyDescent="0.2">
      <c r="A29" s="381" t="s">
        <v>74</v>
      </c>
      <c r="B29" s="333" t="s">
        <v>75</v>
      </c>
      <c r="C29" s="25" t="s">
        <v>31</v>
      </c>
      <c r="D29" s="25" t="s">
        <v>10</v>
      </c>
      <c r="E29" s="52" t="s">
        <v>76</v>
      </c>
      <c r="F29" s="340" t="s">
        <v>77</v>
      </c>
      <c r="G29" s="865" t="s">
        <v>627</v>
      </c>
    </row>
    <row r="30" spans="1:7" ht="71.25" x14ac:dyDescent="0.3">
      <c r="A30" s="381" t="s">
        <v>78</v>
      </c>
      <c r="B30" s="333" t="s">
        <v>79</v>
      </c>
      <c r="C30" s="335" t="s">
        <v>31</v>
      </c>
      <c r="D30" s="25" t="s">
        <v>10</v>
      </c>
      <c r="E30" s="25" t="s">
        <v>80</v>
      </c>
      <c r="F30" s="340" t="s">
        <v>77</v>
      </c>
      <c r="G30" s="865" t="s">
        <v>627</v>
      </c>
    </row>
    <row r="31" spans="1:7" ht="71.25" x14ac:dyDescent="0.3">
      <c r="A31" s="381" t="s">
        <v>81</v>
      </c>
      <c r="B31" s="333" t="s">
        <v>82</v>
      </c>
      <c r="C31" s="335" t="s">
        <v>31</v>
      </c>
      <c r="D31" s="25" t="s">
        <v>10</v>
      </c>
      <c r="E31" s="52">
        <v>0.75</v>
      </c>
      <c r="F31" s="340" t="s">
        <v>77</v>
      </c>
      <c r="G31" s="865" t="s">
        <v>627</v>
      </c>
    </row>
    <row r="32" spans="1:7" ht="71.25" x14ac:dyDescent="0.3">
      <c r="A32" s="381" t="s">
        <v>83</v>
      </c>
      <c r="B32" s="530" t="s">
        <v>611</v>
      </c>
      <c r="C32" s="335" t="s">
        <v>31</v>
      </c>
      <c r="D32" s="25" t="s">
        <v>10</v>
      </c>
      <c r="E32" s="52" t="s">
        <v>84</v>
      </c>
      <c r="F32" s="340" t="s">
        <v>77</v>
      </c>
      <c r="G32" s="865" t="s">
        <v>622</v>
      </c>
    </row>
    <row r="33" spans="1:7" ht="94.5" x14ac:dyDescent="0.2">
      <c r="A33" s="381" t="s">
        <v>85</v>
      </c>
      <c r="B33" s="333" t="s">
        <v>612</v>
      </c>
      <c r="C33" s="25" t="s">
        <v>22</v>
      </c>
      <c r="D33" s="25" t="s">
        <v>10</v>
      </c>
      <c r="E33" s="52">
        <v>1</v>
      </c>
      <c r="F33" s="340" t="s">
        <v>86</v>
      </c>
      <c r="G33" s="865" t="s">
        <v>627</v>
      </c>
    </row>
    <row r="34" spans="1:7" ht="54" x14ac:dyDescent="0.2">
      <c r="A34" s="381" t="s">
        <v>87</v>
      </c>
      <c r="B34" s="333" t="s">
        <v>88</v>
      </c>
      <c r="C34" s="25" t="s">
        <v>22</v>
      </c>
      <c r="D34" s="25" t="s">
        <v>89</v>
      </c>
      <c r="E34" s="25">
        <v>0.8</v>
      </c>
      <c r="F34" s="333" t="s">
        <v>90</v>
      </c>
      <c r="G34" s="865" t="s">
        <v>627</v>
      </c>
    </row>
    <row r="35" spans="1:7" ht="54" x14ac:dyDescent="0.2">
      <c r="A35" s="381" t="s">
        <v>91</v>
      </c>
      <c r="B35" s="333" t="s">
        <v>92</v>
      </c>
      <c r="C35" s="25" t="s">
        <v>22</v>
      </c>
      <c r="D35" s="25" t="s">
        <v>89</v>
      </c>
      <c r="E35" s="25" t="s">
        <v>93</v>
      </c>
      <c r="F35" s="333" t="s">
        <v>90</v>
      </c>
      <c r="G35" s="865" t="s">
        <v>627</v>
      </c>
    </row>
    <row r="36" spans="1:7" ht="54" x14ac:dyDescent="0.2">
      <c r="A36" s="381" t="s">
        <v>94</v>
      </c>
      <c r="B36" s="333" t="s">
        <v>95</v>
      </c>
      <c r="C36" s="25" t="s">
        <v>22</v>
      </c>
      <c r="D36" s="25" t="s">
        <v>89</v>
      </c>
      <c r="E36" s="52">
        <v>0.2</v>
      </c>
      <c r="F36" s="333" t="s">
        <v>90</v>
      </c>
      <c r="G36" s="865" t="s">
        <v>627</v>
      </c>
    </row>
    <row r="37" spans="1:7" ht="54" x14ac:dyDescent="0.2">
      <c r="A37" s="381" t="s">
        <v>96</v>
      </c>
      <c r="B37" s="333" t="s">
        <v>97</v>
      </c>
      <c r="C37" s="25" t="s">
        <v>22</v>
      </c>
      <c r="D37" s="25" t="s">
        <v>89</v>
      </c>
      <c r="E37" s="52">
        <v>0.7</v>
      </c>
      <c r="F37" s="333" t="s">
        <v>90</v>
      </c>
      <c r="G37" s="865" t="s">
        <v>627</v>
      </c>
    </row>
    <row r="38" spans="1:7" ht="67.5" x14ac:dyDescent="0.25">
      <c r="A38" s="334" t="s">
        <v>98</v>
      </c>
      <c r="B38" s="337" t="s">
        <v>99</v>
      </c>
      <c r="C38" s="25" t="s">
        <v>22</v>
      </c>
      <c r="D38" s="25" t="s">
        <v>89</v>
      </c>
      <c r="E38" s="52">
        <v>0.15</v>
      </c>
      <c r="F38" s="333" t="s">
        <v>90</v>
      </c>
      <c r="G38" s="865" t="s">
        <v>17</v>
      </c>
    </row>
    <row r="39" spans="1:7" ht="94.5" x14ac:dyDescent="0.2">
      <c r="A39" s="381" t="s">
        <v>100</v>
      </c>
      <c r="B39" s="333" t="s">
        <v>101</v>
      </c>
      <c r="C39" s="25" t="s">
        <v>102</v>
      </c>
      <c r="D39" s="25" t="s">
        <v>10</v>
      </c>
      <c r="E39" s="25" t="s">
        <v>59</v>
      </c>
      <c r="F39" s="341" t="s">
        <v>103</v>
      </c>
      <c r="G39" s="865" t="s">
        <v>622</v>
      </c>
    </row>
    <row r="40" spans="1:7" ht="54" x14ac:dyDescent="0.2">
      <c r="A40" s="381" t="s">
        <v>104</v>
      </c>
      <c r="B40" s="333" t="s">
        <v>105</v>
      </c>
      <c r="C40" s="25" t="s">
        <v>106</v>
      </c>
      <c r="D40" s="25" t="s">
        <v>107</v>
      </c>
      <c r="E40" s="25">
        <v>100</v>
      </c>
      <c r="F40" s="341" t="s">
        <v>108</v>
      </c>
      <c r="G40" s="865" t="s">
        <v>627</v>
      </c>
    </row>
    <row r="41" spans="1:7" ht="94.5" x14ac:dyDescent="0.2">
      <c r="A41" s="381" t="s">
        <v>109</v>
      </c>
      <c r="B41" s="333" t="s">
        <v>110</v>
      </c>
      <c r="C41" s="25" t="s">
        <v>106</v>
      </c>
      <c r="D41" s="25" t="s">
        <v>10</v>
      </c>
      <c r="E41" s="25" t="s">
        <v>59</v>
      </c>
      <c r="F41" s="341" t="s">
        <v>108</v>
      </c>
      <c r="G41" s="865" t="s">
        <v>622</v>
      </c>
    </row>
    <row r="42" spans="1:7" ht="27" x14ac:dyDescent="0.2">
      <c r="A42" s="382" t="s">
        <v>111</v>
      </c>
      <c r="B42" s="192" t="s">
        <v>112</v>
      </c>
      <c r="C42" s="25" t="s">
        <v>106</v>
      </c>
      <c r="D42" s="25" t="s">
        <v>10</v>
      </c>
      <c r="E42" s="52" t="s">
        <v>613</v>
      </c>
      <c r="F42" s="341" t="s">
        <v>108</v>
      </c>
      <c r="G42" s="865" t="s">
        <v>627</v>
      </c>
    </row>
    <row r="43" spans="1:7" ht="67.5" x14ac:dyDescent="0.2">
      <c r="A43" s="535" t="s">
        <v>113</v>
      </c>
      <c r="B43" s="192" t="s">
        <v>631</v>
      </c>
      <c r="C43" s="25" t="s">
        <v>106</v>
      </c>
      <c r="D43" s="25" t="s">
        <v>10</v>
      </c>
      <c r="E43" s="25" t="s">
        <v>114</v>
      </c>
      <c r="F43" s="341" t="s">
        <v>108</v>
      </c>
      <c r="G43" s="865" t="s">
        <v>627</v>
      </c>
    </row>
    <row r="44" spans="1:7" ht="67.5" x14ac:dyDescent="0.2">
      <c r="A44" s="535" t="s">
        <v>115</v>
      </c>
      <c r="B44" s="192" t="s">
        <v>632</v>
      </c>
      <c r="C44" s="25" t="s">
        <v>106</v>
      </c>
      <c r="D44" s="25" t="s">
        <v>10</v>
      </c>
      <c r="E44" s="25" t="s">
        <v>116</v>
      </c>
      <c r="F44" s="341" t="s">
        <v>108</v>
      </c>
      <c r="G44" s="865" t="s">
        <v>17</v>
      </c>
    </row>
    <row r="45" spans="1:7" ht="54" x14ac:dyDescent="0.2">
      <c r="A45" s="381" t="s">
        <v>117</v>
      </c>
      <c r="B45" s="333" t="s">
        <v>118</v>
      </c>
      <c r="C45" s="25" t="s">
        <v>22</v>
      </c>
      <c r="D45" s="25" t="s">
        <v>10</v>
      </c>
      <c r="E45" s="25" t="s">
        <v>119</v>
      </c>
      <c r="F45" s="341" t="s">
        <v>120</v>
      </c>
      <c r="G45" s="865" t="s">
        <v>17</v>
      </c>
    </row>
    <row r="46" spans="1:7" ht="121.5" x14ac:dyDescent="0.2">
      <c r="A46" s="381" t="s">
        <v>121</v>
      </c>
      <c r="B46" s="333" t="s">
        <v>122</v>
      </c>
      <c r="C46" s="25" t="s">
        <v>22</v>
      </c>
      <c r="D46" s="25" t="s">
        <v>10</v>
      </c>
      <c r="E46" s="25" t="s">
        <v>123</v>
      </c>
      <c r="F46" s="341" t="s">
        <v>120</v>
      </c>
      <c r="G46" s="865" t="s">
        <v>622</v>
      </c>
    </row>
    <row r="47" spans="1:7" ht="121.5" x14ac:dyDescent="0.2">
      <c r="A47" s="381" t="s">
        <v>124</v>
      </c>
      <c r="B47" s="333" t="s">
        <v>125</v>
      </c>
      <c r="C47" s="25" t="s">
        <v>22</v>
      </c>
      <c r="D47" s="25" t="s">
        <v>10</v>
      </c>
      <c r="E47" s="25" t="s">
        <v>126</v>
      </c>
      <c r="F47" s="341" t="s">
        <v>120</v>
      </c>
      <c r="G47" s="865" t="s">
        <v>622</v>
      </c>
    </row>
    <row r="48" spans="1:7" ht="40.5" x14ac:dyDescent="0.25">
      <c r="A48" s="334" t="s">
        <v>127</v>
      </c>
      <c r="B48" s="337" t="s">
        <v>128</v>
      </c>
      <c r="C48" s="25" t="s">
        <v>129</v>
      </c>
      <c r="D48" s="192" t="s">
        <v>130</v>
      </c>
      <c r="E48" s="25" t="s">
        <v>131</v>
      </c>
      <c r="F48" s="341" t="s">
        <v>132</v>
      </c>
      <c r="G48" s="865" t="s">
        <v>627</v>
      </c>
    </row>
    <row r="49" spans="1:7" ht="54" x14ac:dyDescent="0.2">
      <c r="A49" s="381" t="s">
        <v>133</v>
      </c>
      <c r="B49" s="338" t="s">
        <v>134</v>
      </c>
      <c r="C49" s="25" t="s">
        <v>129</v>
      </c>
      <c r="D49" s="192" t="s">
        <v>130</v>
      </c>
      <c r="E49" s="25">
        <v>1</v>
      </c>
      <c r="F49" s="341" t="s">
        <v>132</v>
      </c>
      <c r="G49" s="865" t="s">
        <v>17</v>
      </c>
    </row>
    <row r="50" spans="1:7" ht="67.5" x14ac:dyDescent="0.2">
      <c r="A50" s="381" t="s">
        <v>135</v>
      </c>
      <c r="B50" s="333" t="s">
        <v>136</v>
      </c>
      <c r="C50" s="25" t="s">
        <v>9</v>
      </c>
      <c r="D50" s="25" t="s">
        <v>89</v>
      </c>
      <c r="E50" s="52">
        <v>1</v>
      </c>
      <c r="F50" s="341" t="s">
        <v>137</v>
      </c>
      <c r="G50" s="865" t="s">
        <v>627</v>
      </c>
    </row>
    <row r="51" spans="1:7" ht="108" x14ac:dyDescent="0.2">
      <c r="A51" s="381" t="s">
        <v>138</v>
      </c>
      <c r="B51" s="333" t="s">
        <v>139</v>
      </c>
      <c r="C51" s="25" t="s">
        <v>9</v>
      </c>
      <c r="D51" s="25" t="s">
        <v>10</v>
      </c>
      <c r="E51" s="25" t="s">
        <v>59</v>
      </c>
      <c r="F51" s="341" t="s">
        <v>137</v>
      </c>
      <c r="G51" s="865" t="s">
        <v>622</v>
      </c>
    </row>
    <row r="52" spans="1:7" ht="54" x14ac:dyDescent="0.2">
      <c r="A52" s="381" t="s">
        <v>140</v>
      </c>
      <c r="B52" s="333" t="s">
        <v>141</v>
      </c>
      <c r="C52" s="25" t="s">
        <v>9</v>
      </c>
      <c r="D52" s="25" t="s">
        <v>142</v>
      </c>
      <c r="E52" s="52">
        <v>1</v>
      </c>
      <c r="F52" s="333" t="s">
        <v>143</v>
      </c>
      <c r="G52" s="865" t="s">
        <v>624</v>
      </c>
    </row>
    <row r="53" spans="1:7" ht="27" x14ac:dyDescent="0.2">
      <c r="A53" s="334" t="s">
        <v>144</v>
      </c>
      <c r="B53" s="531" t="s">
        <v>615</v>
      </c>
      <c r="C53" s="25" t="s">
        <v>9</v>
      </c>
      <c r="D53" s="25" t="s">
        <v>142</v>
      </c>
      <c r="E53" s="52">
        <v>1</v>
      </c>
      <c r="F53" s="333" t="s">
        <v>143</v>
      </c>
      <c r="G53" s="865" t="s">
        <v>624</v>
      </c>
    </row>
    <row r="54" spans="1:7" ht="40.5" x14ac:dyDescent="0.25">
      <c r="A54" s="334" t="s">
        <v>145</v>
      </c>
      <c r="B54" s="337" t="s">
        <v>146</v>
      </c>
      <c r="C54" s="25" t="s">
        <v>9</v>
      </c>
      <c r="D54" s="25" t="s">
        <v>142</v>
      </c>
      <c r="E54" s="52">
        <v>1</v>
      </c>
      <c r="F54" s="333" t="s">
        <v>143</v>
      </c>
      <c r="G54" s="865" t="s">
        <v>624</v>
      </c>
    </row>
    <row r="55" spans="1:7" ht="67.5" x14ac:dyDescent="0.2">
      <c r="A55" s="334" t="s">
        <v>147</v>
      </c>
      <c r="B55" s="338" t="s">
        <v>148</v>
      </c>
      <c r="C55" s="25" t="s">
        <v>9</v>
      </c>
      <c r="D55" s="25" t="s">
        <v>142</v>
      </c>
      <c r="E55" s="25">
        <v>15</v>
      </c>
      <c r="F55" s="333" t="s">
        <v>143</v>
      </c>
      <c r="G55" s="865" t="s">
        <v>624</v>
      </c>
    </row>
    <row r="56" spans="1:7" ht="40.5" x14ac:dyDescent="0.2">
      <c r="A56" s="381" t="s">
        <v>149</v>
      </c>
      <c r="B56" s="333" t="s">
        <v>150</v>
      </c>
      <c r="C56" s="25" t="s">
        <v>9</v>
      </c>
      <c r="D56" s="192" t="s">
        <v>130</v>
      </c>
      <c r="E56" s="52">
        <v>0.3</v>
      </c>
      <c r="F56" s="341" t="s">
        <v>151</v>
      </c>
      <c r="G56" s="865" t="s">
        <v>624</v>
      </c>
    </row>
    <row r="57" spans="1:7" ht="54" x14ac:dyDescent="0.2">
      <c r="A57" s="381" t="s">
        <v>152</v>
      </c>
      <c r="B57" s="333" t="s">
        <v>153</v>
      </c>
      <c r="C57" s="25" t="s">
        <v>9</v>
      </c>
      <c r="D57" s="25" t="s">
        <v>10</v>
      </c>
      <c r="E57" s="52" t="s">
        <v>154</v>
      </c>
      <c r="F57" s="341" t="s">
        <v>151</v>
      </c>
      <c r="G57" s="865" t="s">
        <v>624</v>
      </c>
    </row>
    <row r="58" spans="1:7" ht="40.5" x14ac:dyDescent="0.2">
      <c r="A58" s="381" t="s">
        <v>155</v>
      </c>
      <c r="B58" s="333" t="s">
        <v>156</v>
      </c>
      <c r="C58" s="25" t="s">
        <v>9</v>
      </c>
      <c r="D58" s="25" t="s">
        <v>10</v>
      </c>
      <c r="E58" s="52" t="s">
        <v>157</v>
      </c>
      <c r="F58" s="341" t="s">
        <v>151</v>
      </c>
      <c r="G58" s="865" t="s">
        <v>624</v>
      </c>
    </row>
    <row r="59" spans="1:7" ht="94.5" x14ac:dyDescent="0.2">
      <c r="A59" s="381" t="s">
        <v>158</v>
      </c>
      <c r="B59" s="333" t="s">
        <v>159</v>
      </c>
      <c r="C59" s="25" t="s">
        <v>9</v>
      </c>
      <c r="D59" s="25" t="s">
        <v>10</v>
      </c>
      <c r="E59" s="25" t="s">
        <v>59</v>
      </c>
      <c r="F59" s="341" t="s">
        <v>151</v>
      </c>
      <c r="G59" s="865" t="s">
        <v>622</v>
      </c>
    </row>
    <row r="60" spans="1:7" ht="67.5" x14ac:dyDescent="0.2">
      <c r="A60" s="334" t="s">
        <v>160</v>
      </c>
      <c r="B60" s="532" t="s">
        <v>616</v>
      </c>
      <c r="C60" s="25" t="s">
        <v>9</v>
      </c>
      <c r="D60" s="25" t="s">
        <v>130</v>
      </c>
      <c r="E60" s="25">
        <v>4</v>
      </c>
      <c r="F60" s="341" t="s">
        <v>151</v>
      </c>
      <c r="G60" s="865" t="s">
        <v>17</v>
      </c>
    </row>
    <row r="61" spans="1:7" ht="121.5" x14ac:dyDescent="0.25">
      <c r="A61" s="334" t="s">
        <v>161</v>
      </c>
      <c r="B61" s="338" t="s">
        <v>617</v>
      </c>
      <c r="C61" s="25" t="s">
        <v>9</v>
      </c>
      <c r="D61" s="25" t="s">
        <v>130</v>
      </c>
      <c r="E61" s="293" t="s">
        <v>162</v>
      </c>
      <c r="F61" s="341" t="s">
        <v>151</v>
      </c>
      <c r="G61" s="865" t="s">
        <v>17</v>
      </c>
    </row>
    <row r="62" spans="1:7" ht="94.5" x14ac:dyDescent="0.2">
      <c r="A62" s="381" t="s">
        <v>163</v>
      </c>
      <c r="B62" s="533" t="s">
        <v>618</v>
      </c>
      <c r="C62" s="25" t="s">
        <v>164</v>
      </c>
      <c r="D62" s="25" t="s">
        <v>165</v>
      </c>
      <c r="E62" s="52">
        <v>0.1</v>
      </c>
      <c r="F62" s="341" t="s">
        <v>166</v>
      </c>
      <c r="G62" s="865" t="s">
        <v>624</v>
      </c>
    </row>
    <row r="63" spans="1:7" ht="81" x14ac:dyDescent="0.2">
      <c r="A63" s="381" t="s">
        <v>167</v>
      </c>
      <c r="B63" s="333" t="s">
        <v>168</v>
      </c>
      <c r="C63" s="25" t="s">
        <v>164</v>
      </c>
      <c r="D63" s="25" t="s">
        <v>10</v>
      </c>
      <c r="E63" s="25" t="s">
        <v>68</v>
      </c>
      <c r="F63" s="341" t="s">
        <v>166</v>
      </c>
      <c r="G63" s="865" t="s">
        <v>622</v>
      </c>
    </row>
    <row r="64" spans="1:7" ht="81" x14ac:dyDescent="0.25">
      <c r="A64" s="382" t="s">
        <v>170</v>
      </c>
      <c r="B64" s="337" t="s">
        <v>171</v>
      </c>
      <c r="C64" s="25" t="s">
        <v>164</v>
      </c>
      <c r="D64" s="25" t="s">
        <v>142</v>
      </c>
      <c r="E64" s="25" t="s">
        <v>172</v>
      </c>
      <c r="F64" s="341" t="s">
        <v>166</v>
      </c>
      <c r="G64" s="865" t="s">
        <v>624</v>
      </c>
    </row>
    <row r="65" spans="1:7" ht="121.5" x14ac:dyDescent="0.2">
      <c r="A65" s="381" t="s">
        <v>173</v>
      </c>
      <c r="B65" s="333" t="s">
        <v>174</v>
      </c>
      <c r="C65" s="25" t="s">
        <v>164</v>
      </c>
      <c r="D65" s="25" t="s">
        <v>10</v>
      </c>
      <c r="E65" s="25" t="s">
        <v>68</v>
      </c>
      <c r="F65" s="341" t="s">
        <v>175</v>
      </c>
      <c r="G65" s="865" t="s">
        <v>622</v>
      </c>
    </row>
    <row r="66" spans="1:7" ht="94.5" x14ac:dyDescent="0.2">
      <c r="A66" s="381" t="s">
        <v>176</v>
      </c>
      <c r="B66" s="333" t="s">
        <v>177</v>
      </c>
      <c r="C66" s="25" t="s">
        <v>164</v>
      </c>
      <c r="D66" s="25" t="s">
        <v>10</v>
      </c>
      <c r="E66" s="25" t="s">
        <v>68</v>
      </c>
      <c r="F66" s="341" t="s">
        <v>175</v>
      </c>
      <c r="G66" s="865" t="s">
        <v>622</v>
      </c>
    </row>
    <row r="67" spans="1:7" ht="40.5" x14ac:dyDescent="0.2">
      <c r="A67" s="334" t="s">
        <v>178</v>
      </c>
      <c r="B67" s="380" t="s">
        <v>179</v>
      </c>
      <c r="C67" s="25" t="s">
        <v>129</v>
      </c>
      <c r="D67" s="25" t="s">
        <v>10</v>
      </c>
      <c r="E67" s="52">
        <v>0.7</v>
      </c>
      <c r="F67" s="341"/>
      <c r="G67" s="865" t="s">
        <v>627</v>
      </c>
    </row>
    <row r="68" spans="1:7" ht="67.5" x14ac:dyDescent="0.2">
      <c r="A68" s="381" t="s">
        <v>180</v>
      </c>
      <c r="B68" s="333" t="s">
        <v>181</v>
      </c>
      <c r="C68" s="25" t="s">
        <v>129</v>
      </c>
      <c r="D68" s="25" t="s">
        <v>89</v>
      </c>
      <c r="E68" s="25">
        <v>15</v>
      </c>
      <c r="F68" s="341" t="s">
        <v>182</v>
      </c>
      <c r="G68" s="865" t="s">
        <v>627</v>
      </c>
    </row>
    <row r="69" spans="1:7" ht="67.5" x14ac:dyDescent="0.2">
      <c r="A69" s="381" t="s">
        <v>183</v>
      </c>
      <c r="B69" s="333" t="s">
        <v>184</v>
      </c>
      <c r="C69" s="25" t="s">
        <v>129</v>
      </c>
      <c r="D69" s="25" t="s">
        <v>10</v>
      </c>
      <c r="E69" s="25">
        <v>3.5</v>
      </c>
      <c r="F69" s="341" t="s">
        <v>185</v>
      </c>
      <c r="G69" s="865" t="s">
        <v>622</v>
      </c>
    </row>
    <row r="70" spans="1:7" ht="54" x14ac:dyDescent="0.25">
      <c r="A70" s="334" t="s">
        <v>186</v>
      </c>
      <c r="B70" s="337" t="s">
        <v>187</v>
      </c>
      <c r="C70" s="25" t="s">
        <v>129</v>
      </c>
      <c r="D70" s="25" t="s">
        <v>188</v>
      </c>
      <c r="E70" s="25">
        <v>10</v>
      </c>
      <c r="F70" s="341"/>
      <c r="G70" s="865" t="s">
        <v>17</v>
      </c>
    </row>
    <row r="71" spans="1:7" ht="67.5" x14ac:dyDescent="0.25">
      <c r="A71" s="381" t="s">
        <v>189</v>
      </c>
      <c r="B71" s="337" t="s">
        <v>190</v>
      </c>
      <c r="C71" s="25" t="s">
        <v>129</v>
      </c>
      <c r="D71" s="25" t="s">
        <v>10</v>
      </c>
      <c r="E71" s="52">
        <v>0.4</v>
      </c>
      <c r="F71" s="341" t="s">
        <v>185</v>
      </c>
      <c r="G71" s="865" t="s">
        <v>623</v>
      </c>
    </row>
    <row r="72" spans="1:7" ht="67.5" x14ac:dyDescent="0.2">
      <c r="A72" s="381" t="s">
        <v>191</v>
      </c>
      <c r="B72" s="333" t="s">
        <v>192</v>
      </c>
      <c r="C72" s="25" t="s">
        <v>129</v>
      </c>
      <c r="D72" s="25" t="s">
        <v>10</v>
      </c>
      <c r="E72" s="52">
        <v>0.4</v>
      </c>
      <c r="F72" s="341" t="s">
        <v>185</v>
      </c>
      <c r="G72" s="865" t="s">
        <v>622</v>
      </c>
    </row>
    <row r="73" spans="1:7" ht="67.5" x14ac:dyDescent="0.2">
      <c r="A73" s="381" t="s">
        <v>193</v>
      </c>
      <c r="B73" s="333" t="s">
        <v>194</v>
      </c>
      <c r="C73" s="25" t="s">
        <v>129</v>
      </c>
      <c r="D73" s="25" t="s">
        <v>10</v>
      </c>
      <c r="E73" s="25">
        <v>3.5</v>
      </c>
      <c r="F73" s="341" t="s">
        <v>185</v>
      </c>
      <c r="G73" s="865" t="s">
        <v>622</v>
      </c>
    </row>
    <row r="74" spans="1:7" ht="81" x14ac:dyDescent="0.2">
      <c r="A74" s="381" t="s">
        <v>195</v>
      </c>
      <c r="B74" s="333" t="s">
        <v>196</v>
      </c>
      <c r="C74" s="25" t="s">
        <v>129</v>
      </c>
      <c r="D74" s="25" t="s">
        <v>10</v>
      </c>
      <c r="E74" s="25" t="s">
        <v>197</v>
      </c>
      <c r="F74" s="341" t="s">
        <v>185</v>
      </c>
      <c r="G74" s="865" t="s">
        <v>622</v>
      </c>
    </row>
    <row r="75" spans="1:7" ht="67.5" x14ac:dyDescent="0.2">
      <c r="A75" s="381" t="s">
        <v>198</v>
      </c>
      <c r="B75" s="333" t="s">
        <v>199</v>
      </c>
      <c r="C75" s="25" t="s">
        <v>164</v>
      </c>
      <c r="D75" s="25" t="s">
        <v>142</v>
      </c>
      <c r="E75" s="52">
        <v>1</v>
      </c>
      <c r="F75" s="341" t="s">
        <v>185</v>
      </c>
      <c r="G75" s="865" t="s">
        <v>625</v>
      </c>
    </row>
    <row r="76" spans="1:7" ht="67.5" x14ac:dyDescent="0.25">
      <c r="A76" s="381" t="s">
        <v>200</v>
      </c>
      <c r="B76" s="337" t="s">
        <v>201</v>
      </c>
      <c r="C76" s="25" t="s">
        <v>164</v>
      </c>
      <c r="D76" s="25" t="s">
        <v>142</v>
      </c>
      <c r="E76" s="52" t="s">
        <v>614</v>
      </c>
      <c r="F76" s="341" t="s">
        <v>185</v>
      </c>
      <c r="G76" s="865" t="s">
        <v>624</v>
      </c>
    </row>
    <row r="77" spans="1:7" ht="67.5" x14ac:dyDescent="0.2">
      <c r="A77" s="381" t="s">
        <v>202</v>
      </c>
      <c r="B77" s="333" t="s">
        <v>203</v>
      </c>
      <c r="C77" s="25" t="s">
        <v>164</v>
      </c>
      <c r="D77" s="25" t="s">
        <v>10</v>
      </c>
      <c r="E77" s="25" t="s">
        <v>59</v>
      </c>
      <c r="F77" s="341" t="s">
        <v>185</v>
      </c>
      <c r="G77" s="865" t="s">
        <v>622</v>
      </c>
    </row>
    <row r="78" spans="1:7" ht="67.5" x14ac:dyDescent="0.2">
      <c r="A78" s="381" t="s">
        <v>204</v>
      </c>
      <c r="B78" s="333" t="s">
        <v>205</v>
      </c>
      <c r="C78" s="25" t="s">
        <v>102</v>
      </c>
      <c r="D78" s="25" t="s">
        <v>10</v>
      </c>
      <c r="E78" s="25">
        <v>3.5</v>
      </c>
      <c r="F78" s="341" t="s">
        <v>206</v>
      </c>
      <c r="G78" s="865" t="s">
        <v>622</v>
      </c>
    </row>
    <row r="79" spans="1:7" ht="13.5" x14ac:dyDescent="0.25">
      <c r="A79" s="83"/>
      <c r="B79" s="83"/>
      <c r="C79" s="86"/>
      <c r="D79" s="86"/>
      <c r="E79" s="86"/>
      <c r="F79" s="67"/>
      <c r="G79" s="41"/>
    </row>
    <row r="80" spans="1:7" ht="13.5" x14ac:dyDescent="0.25">
      <c r="A80" s="83"/>
      <c r="B80" s="83"/>
      <c r="C80" s="86"/>
      <c r="D80" s="86"/>
      <c r="E80" s="86"/>
      <c r="F80" s="67"/>
      <c r="G80" s="41"/>
    </row>
  </sheetData>
  <mergeCells count="2">
    <mergeCell ref="A2:B4"/>
    <mergeCell ref="C2:G4"/>
  </mergeCells>
  <hyperlinks>
    <hyperlink ref="F27:F28" r:id="rId1" display="https://www.uab.cat/web/estudiar/graus/sistema-de-garantia-interna-de-qualitat-del-centre/sgiq-de-la-facultat-1345722993885.html" xr:uid="{BBAAC3A1-C0BD-41F5-BF65-9EA663221224}"/>
    <hyperlink ref="F29:F32" r:id="rId2" display="https://www.uab.cat/web/estudiar/graus/sistema-de-garantia-interna-de-qualitat-del-centre/sgiq-de-la-facultat-1345722993885.html" xr:uid="{7D0C0372-6494-4F61-B92E-81BE174D3863}"/>
    <hyperlink ref="F39" r:id="rId3" display="https://www.uab.cat/web/estudiar/graus/sistema-de-garantia-interna-de-qualitat-del-centre/sgiq-de-la-facultat-1345722993885.html" xr:uid="{73EAEDED-C1E9-40A1-9F2F-0A9DBDC04C65}"/>
    <hyperlink ref="F40" r:id="rId4" display="https://www.uab.cat/web/estudiar/graus/sistema-de-garantia-interna-de-qualitat-del-centre/sgiq-de-la-facultat-1345722993885.html" xr:uid="{BA71D174-A5E3-4336-A7C4-289D51309497}"/>
    <hyperlink ref="F41" r:id="rId5" display="https://www.uab.cat/web/estudiar/graus/sistema-de-garantia-interna-de-qualitat-del-centre/sgiq-de-la-facultat-1345722993885.html" xr:uid="{49AA49DA-E318-4E87-9C16-CA77BDF82C52}"/>
    <hyperlink ref="F45:F47" r:id="rId6" display="https://www.uab.cat/web/estudiar/graus/sistema-de-garantia-interna-de-qualitat-del-centre/sgiq-de-la-facultat-1345722993885.html" xr:uid="{88E9EB1F-ABA7-4895-A278-0F6D2C097CDE}"/>
    <hyperlink ref="F48" r:id="rId7" display="https://www.uab.cat/web/estudiar/graus/sistema-de-garantia-interna-de-qualitat-del-centre/sgiq-de-la-facultat-1345722993885.html" xr:uid="{E96879CD-3E85-4DAF-B710-C84325D4D1B7}"/>
    <hyperlink ref="F50" r:id="rId8" display="https://www.uab.cat/web/estudiar/graus/sistema-de-garantia-interna-de-qualitat-del-centre/sgiq-de-la-facultat-1345722993885.html" xr:uid="{4DDAEA6A-3F34-4DB8-B544-7F1FF6E71742}"/>
    <hyperlink ref="F51" r:id="rId9" display="https://www.uab.cat/web/estudiar/graus/sistema-de-garantia-interna-de-qualitat-del-centre/sgiq-de-la-facultat-1345722993885.html" xr:uid="{087BE64F-FE9F-4D97-B58F-A58049E9E935}"/>
    <hyperlink ref="F65" r:id="rId10" display="https://www.uab.cat/web/estudiar/graus/sistema-de-garantia-interna-de-qualitat-del-centre/sgiq-de-la-facultat-1345722993885.html" xr:uid="{1570EE02-F439-42B8-8115-D0D6B4231478}"/>
    <hyperlink ref="F66" r:id="rId11" display="https://www.uab.cat/web/estudiar/graus/sistema-de-garantia-interna-de-qualitat-del-centre/sgiq-de-la-facultat-1345722993885.html" xr:uid="{AF4B1DDE-17DF-4941-84A7-E094C7BC3732}"/>
    <hyperlink ref="F78" r:id="rId12" display="https://www.uab.cat/web/estudiar/graus/sistema-de-garantia-interna-de-qualitat-del-centre/sgiq-de-la-facultat-1345722993885.html" xr:uid="{E7145BA8-BA48-47FC-BF3E-D6F024523362}"/>
    <hyperlink ref="F68" r:id="rId13" display="https://www.uab.cat/web/estudiar/graus/sistema-de-garantia-interna-de-qualitat-del-centre/sgiq-de-la-facultat-1345722993885.html" xr:uid="{D267A8EB-106F-4960-A546-C730340DB3DB}"/>
    <hyperlink ref="F49" r:id="rId14" display="https://www.uab.cat/web/estudiar/graus/sistema-de-garantia-interna-de-qualitat-del-centre/sgiq-de-la-facultat-1345722993885.html" xr:uid="{980A45FA-D1D9-43B8-807E-8E2EA39D7127}"/>
    <hyperlink ref="A7" location="'PE1.01_Ind01 '!A1" display="PE1.01_Ind01." xr:uid="{B2C68F48-B87F-4681-8396-20846C5F0691}"/>
    <hyperlink ref="A8" location="PE1.01_Ind02!A1" display="PE1.01_Ind02." xr:uid="{324AFB5D-E01D-4ED8-9B23-51F6E317AC5D}"/>
    <hyperlink ref="A11" location="PE1.02_Ind01!A1" display="PE1.02_Ind01." xr:uid="{1376B35E-CA7F-424B-B0BC-E8AF5CB7C87A}"/>
    <hyperlink ref="A12" location="PE1.02_Ind02!A1" display="PE1.02_Ind02." xr:uid="{B07C96FE-E0F0-45A9-8848-2A3A9912ACC6}"/>
    <hyperlink ref="A14" location="PE1.03_Ind01!A1" display="PE1.03_Ind01." xr:uid="{80CEDD37-E21F-496D-834A-E0E752F89D54}"/>
    <hyperlink ref="A15" location="PE1.03_Ind02!A1" display="PE1.03_Ind02" xr:uid="{3F02092E-C374-4756-976B-56D5AF8C7B04}"/>
    <hyperlink ref="A16" location="PE1.03_Ind03!A1" display="PE1.03_Ind03" xr:uid="{F9A16FF2-EA83-46FE-8708-49D42D9C7FF7}"/>
    <hyperlink ref="A17" location="'PE1.03_Ind04 '!A1" display="PE1.03_Ind04" xr:uid="{A6D4994A-A093-486E-9A3C-2A573122F7A4}"/>
    <hyperlink ref="A21" location="PC2.01_Ind01!A1" display="PC2.01_Ind01" xr:uid="{E093096A-BA82-4D2C-AEF1-EA2D53C78A94}"/>
    <hyperlink ref="A22" location="PC2.01_Ind02!A1" display="PC2.01_Ind02" xr:uid="{6C0903AF-6E41-426B-AF74-A7B7461C1B49}"/>
    <hyperlink ref="A23" location="PC2.01_Ind03!A1" display="PC2.01_Ind03" xr:uid="{48D4F3C1-6DA3-4DE0-B2DD-C7CA281AAC1B}"/>
    <hyperlink ref="A24" location="PC2.01_Ind04!A1" display="PC2.01_Ind04" xr:uid="{6C7C75DC-637F-4FEB-A2F7-19584955E23B}"/>
    <hyperlink ref="A25" location="PC2.01_Ind05!A1" display="PC2.01_Ind05" xr:uid="{142E91F8-FCAA-477E-B63E-DEC259B85BF7}"/>
    <hyperlink ref="A26" location="PC2.02_Ind01!A1" display="PC2.02_Ind01." xr:uid="{EC73A13C-B6CE-4641-A1BC-6AE3640C26D0}"/>
    <hyperlink ref="A27" location="PC2.03_Ind01!A1" display="PC2.03_Ind01." xr:uid="{A0680056-82D8-4236-815C-7A720D70D50A}"/>
    <hyperlink ref="A28" location="PC2.03_Ind02!A1" display="PC2.03_Ind02. " xr:uid="{634C8B1A-0F72-4378-A580-AE06238A11E9}"/>
    <hyperlink ref="A29" location="PC2.04_Ind01!A1" display=" PC2.04_Ind01." xr:uid="{9D8B72D5-1B62-4ECC-99E5-733496E24825}"/>
    <hyperlink ref="A30" location="PC2.04_Ind02!A1" display="PC2.04_Ind02. " xr:uid="{5B18FACD-EA5E-47CD-B8CF-48CED8113F49}"/>
    <hyperlink ref="A31" location="PC2.04_Ind03!A1" display="PC2.04_Ind03. " xr:uid="{480A7CC1-3400-4E7D-8545-E4B8937AEF74}"/>
    <hyperlink ref="A32" location="PC2.04_Ind4!A1" display="PC2.04_Ind04." xr:uid="{C7DCF995-E185-4A43-A961-07D112A5B236}"/>
    <hyperlink ref="A33" location="PC2.05_Ind01!A1" display="PC2.05_Ind01." xr:uid="{5AF66A65-503C-453C-BF5B-692B21E38B49}"/>
    <hyperlink ref="A34" location="PC3.01_Ind01!A1" display="PC3.01_Ind01. " xr:uid="{2D7B2105-3522-4630-A4A5-B5FCADB01B5E}"/>
    <hyperlink ref="A35" location="PC3.01_Ind02.!A1" display="PC3.01_Ind02." xr:uid="{D368D240-E364-4CC1-843C-21A43597F53A}"/>
    <hyperlink ref="A36" location="PC3.01_Ind03!A1" display="PC3.01_Ind03." xr:uid="{2665870B-29CD-46EC-A1BB-D690B3C666D3}"/>
    <hyperlink ref="A37" location="'PC3.01_Ind04 '!A1" display="PC3.01_Ind04." xr:uid="{89EB5B8C-94A0-4A15-8F36-9991F71585DB}"/>
    <hyperlink ref="A38" location="PC3.01_Ind05!A1" display="PC3.01_Ind05." xr:uid="{436D7494-2925-40A7-942C-4E6CD9E3405D}"/>
    <hyperlink ref="A39" location="PC3.02_Ind01!A1" display="PC3.02_Ind01." xr:uid="{482E1200-0BEF-4783-A678-AE6CDDD6B24F}"/>
    <hyperlink ref="A40" location="PC3.03_Ind01!A1" display="PC3.03_Ind01. " xr:uid="{D4B6A9F5-6D3C-4A7E-9758-9328B19BF8E6}"/>
    <hyperlink ref="A41" location="PC3.03_Ind02!A1" display="PC3.03_Ind02. " xr:uid="{B4D07603-00BA-47F3-8ACA-42A6BDCDEA13}"/>
    <hyperlink ref="A45" location="PC3.04_Ind01!A1" display="PC3.04_Ind01." xr:uid="{A8644DBF-9572-4EEA-BEB9-80E457AE8066}"/>
    <hyperlink ref="A46" location="'PC3.04_Ind02 '!A1" display="PC3.04_Ind02. " xr:uid="{DE44FF88-4F7B-4DD8-8AE9-A90A1B99D33F}"/>
    <hyperlink ref="A47" location="PC3.04_Ind03!A1" display="PC3.04_Ind03." xr:uid="{E6572AA6-45F8-449E-9AF7-EA82A537558C}"/>
    <hyperlink ref="A48" location="PC3.05_Ind01!A1" display="PC3.05_Ind01." xr:uid="{E1649E4C-E7E2-4B48-AD67-44F4C1B31062}"/>
    <hyperlink ref="A49" location="PC3.05_Ind02!A1" display="PC3.05_Ind02." xr:uid="{3DC2166D-72D6-46BE-A10B-00237FAF4713}"/>
    <hyperlink ref="A50" location="PS4.01_Ind01!A1" display="PS4.01_Ind01. " xr:uid="{4DCD1315-8F7F-449A-B251-B7BFC5D0A43F}"/>
    <hyperlink ref="A51" location="PS4.01_Ind02!A1" display="PS4.01_Ind02. " xr:uid="{A4E591F2-438F-402A-B472-0493DE511263}"/>
    <hyperlink ref="A52" location="PS4.02_Ind01!A1" display="PS4.02_Ind01. " xr:uid="{7F4BF65C-4760-4282-BB92-F01725EA691F}"/>
    <hyperlink ref="A53" location="PS4.02_Ind02!A1" display="PS4.02_Ind02." xr:uid="{E567B10E-8B2D-4DA6-84EF-C43F7662B775}"/>
    <hyperlink ref="A54" location="PS4.02_Ind03!A1" display="PS4.02_Ind03." xr:uid="{DE335703-FF53-48E4-A106-757F25D9A729}"/>
    <hyperlink ref="A55" location="PS4.02_Ind04!A1" display="PS4.02_Ind04." xr:uid="{C681FAF2-2D83-4C1D-BC27-26720A7DA550}"/>
    <hyperlink ref="A56" location="PS4.03_Ind01!A1" display="PS4.03_Ind01. " xr:uid="{781631E2-DE04-4BA4-9CB5-EBC28102B84D}"/>
    <hyperlink ref="A57" location="PS4.03_Ind02!A1" display="PS4.03_Ind02. " xr:uid="{6F969FF9-164D-4B0C-947E-CAE3FA9B8463}"/>
    <hyperlink ref="A58" location="PS4.03_Ind03!A1" display="PS4.03_Ind03. " xr:uid="{B4CD64A3-AAF3-4CE1-8A70-D1BE41FB02C0}"/>
    <hyperlink ref="A59" location="PS4.03_Ind04!A1" display=" PS4.03_Ind04. " xr:uid="{8F45BD37-07D3-4B35-9333-A3CAA2603B4A}"/>
    <hyperlink ref="A60" location="PS4.03_Ind05!A1" display="PS4.03_Ind05." xr:uid="{45BD27B1-1E01-4BD6-A68B-97C86BC65600}"/>
    <hyperlink ref="A61" location="PS4.03_Ind06!A1" display="PS4.03_Ind06." xr:uid="{C51E6871-6FBC-44E1-BF13-26327031621A}"/>
    <hyperlink ref="A62" location="PS4.04_Ind01!A1" display=" PS4.04_Ind01. " xr:uid="{3F1D1B23-0EF0-4F52-A8F9-DA42A83D3DFA}"/>
    <hyperlink ref="A64" location="PS4.04_Ind02!A1" display="PS4.04_Ind02. " xr:uid="{D63988B0-8F7A-4CB7-924A-28890D7C47FA}"/>
    <hyperlink ref="A63" location="PS4.04_Ind03.!A1" display=" PS4.04_Ind03.  " xr:uid="{8A57CD3C-BA85-4C1B-92C2-F41C07CCA27A}"/>
    <hyperlink ref="A65" location="PS4.05_Ind01!A1" display=" PS4.05_Ind01." xr:uid="{3988D1C2-411F-474C-AC4E-91D8EAF202FF}"/>
    <hyperlink ref="A66" location="PS4.05_Ind02!A1" display="PS4.05_Ind02. " xr:uid="{578BAB71-8B4D-4C57-841D-4794271A4A50}"/>
    <hyperlink ref="A67" location="PS5.03_Ind01!A1" display=" PS5.03_Ind01." xr:uid="{DC12FF6A-EC84-4E00-BC9F-635C11096559}"/>
    <hyperlink ref="A68" location="PS5.03_Ind02!A1" display=" PS5.03_Ind02. " xr:uid="{D5C7FE52-EE87-4D2F-88C3-315AA6A0C072}"/>
    <hyperlink ref="A69" location="PS5.03_Ind03!A1" display=" PS5.03_Ind03. " xr:uid="{B8DA11F1-B937-4069-8F10-2B3C938B48F9}"/>
    <hyperlink ref="A70" location="PS5.03_Ind04!A1" display="PS5.03_Ind04." xr:uid="{9826F2A7-9781-4AF1-9E3C-DF1DB5AEC502}"/>
    <hyperlink ref="A71" location="PS5.04_Ind01!A1" display=" PS5.04_Ind01. " xr:uid="{C3B63385-9FD9-4D00-9D3D-DFE9401BD6F0}"/>
    <hyperlink ref="A72" location="PS5.04_Ind02!A1" display=" PS5.04_Ind02. " xr:uid="{15F7F136-92B2-4A62-81AA-D8025401A657}"/>
    <hyperlink ref="A73" location="PS5.04_Ind03!A1" display=" PS5.04_Ind03. " xr:uid="{92AFF870-B76B-4B9A-8312-100B301F96D5}"/>
    <hyperlink ref="A74" location="PS5.04_Ind04!A1" display=" PS5.04_Ind04. " xr:uid="{640D6842-97AF-4379-808C-DF62F5BD3F19}"/>
    <hyperlink ref="A75" location="PS5.05_Ind01!A1" display=" PS5.05_Ind01. " xr:uid="{06E33B53-65EA-4802-9C1E-B1C7FFA60064}"/>
    <hyperlink ref="A76" location="PS5.05_Ind02!A1" display=" PS5.05_Ind02. " xr:uid="{F6E66B08-1F45-4BFA-9B6F-0A55EF53CFE0}"/>
    <hyperlink ref="A78" location="'PS5.06_Ind01   '!A1" display=" PS5.06_Ind01. " xr:uid="{4291EDB0-4C55-4C7E-A5B8-BDF9E4C54618}"/>
    <hyperlink ref="A18" location="PE1.03_Ind05!A1" display="PE1.03_Ind05" xr:uid="{DC818931-5A80-434C-A892-A4EED99D985E}"/>
    <hyperlink ref="A19" location="PE1.03_Ind06!A1" display="PE1.03_Ind06" xr:uid="{1E9BF54A-A3BB-4DAF-8B68-C68FB0DF69B4}"/>
    <hyperlink ref="A20" location="PE1.03_Ind07!A1" display="PE1.03_Ind07" xr:uid="{99840902-1AE3-4473-AD31-0FD238E712DE}"/>
    <hyperlink ref="F42" r:id="rId15" display="https://www.uab.cat/web/estudiar/graus/sistema-de-garantia-interna-de-qualitat-del-centre/sgiq-de-la-facultat-1345722993885.html" xr:uid="{6C683A6A-FA04-4E52-A120-3615080C8C67}"/>
    <hyperlink ref="F43" r:id="rId16" display="https://www.uab.cat/web/estudiar/graus/sistema-de-garantia-interna-de-qualitat-del-centre/sgiq-de-la-facultat-1345722993885.html" xr:uid="{049D15BD-D424-4636-A502-7621825244CA}"/>
    <hyperlink ref="F44" r:id="rId17" display="https://www.uab.cat/web/estudiar/graus/sistema-de-garantia-interna-de-qualitat-del-centre/sgiq-de-la-facultat-1345722993885.html" xr:uid="{997E7CFB-0A04-4E85-8992-6C6D750EE8D1}"/>
    <hyperlink ref="A9" location="'PE1.01_Ind03 '!A1" display="PE1-01_Ind03" xr:uid="{84597893-981F-4CF6-9B08-F51FE3C6C961}"/>
    <hyperlink ref="A10" location="'PE1.01_Ind04 '!A1" display="PE1.01_Ind04" xr:uid="{14CCD039-BC2D-4E6B-8A31-753E4068273A}"/>
    <hyperlink ref="A13" location="PE1.02_Ind03!A1" display="PE1.02_Ind03" xr:uid="{58898AEB-3514-41EA-BFD3-CC642BE5B4AC}"/>
    <hyperlink ref="A42" location="PC3.03_Ind03!A1" display="PC3.03_Ind03" xr:uid="{A395EF94-956D-454B-9BE5-31CC7DD1BB60}"/>
    <hyperlink ref="A43" location="PC3.03_Ind04!A1" display="PC3.03_Ind04 " xr:uid="{53A3E44E-10E1-4014-A56B-F7FC1C014FE0}"/>
    <hyperlink ref="A44" location="PC3.03_Ind05!A1" display="PC3.03_Ind05" xr:uid="{EF00A2E0-2FC6-4659-A5E4-AD696D9698B2}"/>
    <hyperlink ref="A77" location="'PS5.05_Ind03 '!A1" display=" PS5.05_Ind03. " xr:uid="{0BF2F7DE-10D7-4E6C-A578-63C40E87A3BC}"/>
  </hyperlinks>
  <pageMargins left="0.7" right="0.7" top="0.75" bottom="0.75" header="0.3" footer="0.3"/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A084-461C-41E0-8A55-ACE9EAF592A2}">
  <sheetPr>
    <tabColor theme="9" tint="-0.499984740745262"/>
    <pageSetUpPr fitToPage="1"/>
  </sheetPr>
  <dimension ref="B2:T40"/>
  <sheetViews>
    <sheetView showGridLines="0" topLeftCell="G16" zoomScaleNormal="100" workbookViewId="0">
      <selection activeCell="H22" sqref="H22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7" width="12.5703125" customWidth="1"/>
    <col min="8" max="8" width="11.7109375" customWidth="1"/>
    <col min="9" max="12" width="7.5703125" customWidth="1"/>
  </cols>
  <sheetData>
    <row r="2" spans="2:14" ht="55.5" customHeight="1" x14ac:dyDescent="0.25">
      <c r="B2" s="543"/>
      <c r="C2" s="544"/>
      <c r="D2" s="545"/>
      <c r="E2" s="311" t="s">
        <v>207</v>
      </c>
      <c r="F2" s="280"/>
      <c r="G2" s="280"/>
    </row>
    <row r="3" spans="2:14" ht="22.5" customHeight="1" x14ac:dyDescent="0.2">
      <c r="B3" s="281"/>
      <c r="C3" s="281"/>
      <c r="D3" s="282"/>
      <c r="E3" s="282"/>
      <c r="F3" s="282"/>
      <c r="G3" s="282"/>
    </row>
    <row r="4" spans="2:14" ht="42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56"/>
      <c r="H4" s="628" t="e">
        <f>#REF!</f>
        <v>#REF!</v>
      </c>
      <c r="I4" s="628"/>
      <c r="J4" s="628"/>
      <c r="K4" s="628"/>
      <c r="L4" s="628"/>
      <c r="M4" s="628"/>
      <c r="N4" s="628"/>
    </row>
    <row r="5" spans="2:14" ht="22.5" customHeight="1" x14ac:dyDescent="0.25">
      <c r="B5" s="547" t="s">
        <v>210</v>
      </c>
      <c r="C5" s="548"/>
      <c r="D5" s="575" t="e">
        <f>#REF!</f>
        <v>#REF!</v>
      </c>
      <c r="E5" s="577"/>
      <c r="F5" s="638" t="s">
        <v>211</v>
      </c>
      <c r="G5" s="639"/>
      <c r="H5" s="629" t="s">
        <v>235</v>
      </c>
      <c r="I5" s="630"/>
      <c r="J5" s="630"/>
      <c r="K5" s="630"/>
      <c r="L5" s="630"/>
      <c r="M5" s="630"/>
      <c r="N5" s="631"/>
    </row>
    <row r="6" spans="2:14" ht="24.75" customHeight="1" x14ac:dyDescent="0.25">
      <c r="B6" s="547" t="s">
        <v>213</v>
      </c>
      <c r="C6" s="548"/>
      <c r="D6" s="596" t="s">
        <v>214</v>
      </c>
      <c r="E6" s="586"/>
      <c r="F6" s="636" t="s">
        <v>236</v>
      </c>
      <c r="G6" s="637"/>
      <c r="H6" s="632" t="e">
        <f>#REF!</f>
        <v>#REF!</v>
      </c>
      <c r="I6" s="633"/>
      <c r="J6" s="633"/>
      <c r="K6" s="633"/>
      <c r="L6" s="633"/>
      <c r="M6" s="633"/>
      <c r="N6" s="634"/>
    </row>
    <row r="7" spans="2:14" ht="22.5" customHeight="1" x14ac:dyDescent="0.25">
      <c r="B7" s="547" t="s">
        <v>216</v>
      </c>
      <c r="C7" s="556"/>
      <c r="D7" s="635" t="e">
        <f>#REF!</f>
        <v>#REF!</v>
      </c>
      <c r="E7" s="635"/>
      <c r="F7" s="635"/>
      <c r="G7" s="635"/>
      <c r="H7" s="635"/>
      <c r="I7" s="635"/>
      <c r="J7" s="635"/>
      <c r="K7" s="635"/>
      <c r="L7" s="635"/>
      <c r="M7" s="635"/>
      <c r="N7" s="635"/>
    </row>
    <row r="8" spans="2:14" ht="7.5" customHeight="1" x14ac:dyDescent="0.25">
      <c r="B8" s="279"/>
      <c r="C8" s="279"/>
      <c r="D8" s="279"/>
      <c r="E8" s="279"/>
      <c r="F8" s="279"/>
      <c r="G8" s="279"/>
    </row>
    <row r="9" spans="2:14" ht="22.5" customHeight="1" x14ac:dyDescent="0.25">
      <c r="B9" s="620" t="s">
        <v>217</v>
      </c>
      <c r="C9" s="621"/>
      <c r="D9" s="621"/>
      <c r="E9" s="621"/>
      <c r="F9" s="621"/>
      <c r="G9" s="621"/>
    </row>
    <row r="10" spans="2:14" ht="22.5" customHeight="1" x14ac:dyDescent="0.25">
      <c r="B10" s="302"/>
      <c r="C10" s="293"/>
      <c r="D10" s="293"/>
      <c r="E10" s="293"/>
      <c r="F10" s="293"/>
      <c r="G10" s="293"/>
    </row>
    <row r="11" spans="2:14" ht="22.5" customHeight="1" x14ac:dyDescent="0.25">
      <c r="B11" s="279"/>
      <c r="C11" s="279"/>
      <c r="D11" s="279"/>
      <c r="E11" s="279"/>
      <c r="F11" s="279"/>
      <c r="G11" s="279"/>
    </row>
    <row r="12" spans="2:14" ht="22.5" customHeight="1" x14ac:dyDescent="0.25">
      <c r="B12" s="293"/>
      <c r="C12" s="293"/>
      <c r="D12" s="162" t="s">
        <v>252</v>
      </c>
      <c r="E12" s="162" t="s">
        <v>253</v>
      </c>
      <c r="F12" s="357" t="s">
        <v>218</v>
      </c>
      <c r="G12" s="357" t="s">
        <v>219</v>
      </c>
      <c r="H12" s="357" t="s">
        <v>220</v>
      </c>
      <c r="I12" s="22"/>
    </row>
    <row r="13" spans="2:14" ht="22.5" customHeight="1" x14ac:dyDescent="0.2">
      <c r="B13" s="597" t="s">
        <v>238</v>
      </c>
      <c r="C13" s="619"/>
      <c r="D13" s="39">
        <v>0.57530000000000003</v>
      </c>
      <c r="E13" s="39">
        <v>0.66200000000000003</v>
      </c>
      <c r="F13" s="39">
        <v>0.68569999999999998</v>
      </c>
      <c r="G13" s="55">
        <v>0.9</v>
      </c>
      <c r="H13" s="399" t="s">
        <v>254</v>
      </c>
      <c r="I13" s="16"/>
    </row>
    <row r="14" spans="2:14" ht="22.5" customHeight="1" x14ac:dyDescent="0.3">
      <c r="B14" s="619" t="s">
        <v>255</v>
      </c>
      <c r="C14" s="627"/>
      <c r="D14" s="29" t="s">
        <v>231</v>
      </c>
      <c r="E14" s="520">
        <v>0.68179999999999996</v>
      </c>
      <c r="F14" s="29" t="s">
        <v>231</v>
      </c>
      <c r="G14" s="29" t="s">
        <v>231</v>
      </c>
      <c r="H14" s="399" t="s">
        <v>254</v>
      </c>
      <c r="I14" s="16"/>
    </row>
    <row r="15" spans="2:14" ht="43.5" customHeight="1" x14ac:dyDescent="0.2">
      <c r="B15" s="597" t="s">
        <v>240</v>
      </c>
      <c r="C15" s="619"/>
      <c r="D15" s="39">
        <v>0.42499999999999999</v>
      </c>
      <c r="E15" s="39">
        <v>0.15379999999999999</v>
      </c>
      <c r="F15" s="29" t="s">
        <v>231</v>
      </c>
      <c r="G15" s="55">
        <v>0</v>
      </c>
      <c r="H15" s="399" t="s">
        <v>254</v>
      </c>
      <c r="I15" s="16"/>
    </row>
    <row r="16" spans="2:14" ht="29.25" customHeight="1" x14ac:dyDescent="0.2">
      <c r="B16" s="597" t="s">
        <v>241</v>
      </c>
      <c r="C16" s="619"/>
      <c r="D16" s="55">
        <v>0.73</v>
      </c>
      <c r="E16" s="39">
        <v>0.59419999999999995</v>
      </c>
      <c r="F16" s="39">
        <v>0.57140000000000002</v>
      </c>
      <c r="G16" s="55">
        <v>0.88</v>
      </c>
      <c r="H16" s="399" t="s">
        <v>254</v>
      </c>
      <c r="I16" s="16"/>
      <c r="M16" t="s">
        <v>169</v>
      </c>
    </row>
    <row r="17" spans="2:20" ht="29.25" customHeight="1" x14ac:dyDescent="0.2">
      <c r="B17" s="597" t="s">
        <v>256</v>
      </c>
      <c r="C17" s="597"/>
      <c r="D17" s="55">
        <v>0.71430000000000005</v>
      </c>
      <c r="E17" s="39">
        <v>0.83330000000000004</v>
      </c>
      <c r="F17" s="39">
        <v>0.95650000000000002</v>
      </c>
      <c r="G17" s="29" t="s">
        <v>231</v>
      </c>
      <c r="H17" s="399" t="s">
        <v>254</v>
      </c>
      <c r="I17" s="16"/>
    </row>
    <row r="18" spans="2:20" ht="29.25" customHeight="1" x14ac:dyDescent="0.2">
      <c r="B18" s="625" t="s">
        <v>257</v>
      </c>
      <c r="C18" s="626"/>
      <c r="D18" s="39">
        <v>0.63639999999999997</v>
      </c>
      <c r="E18" s="29" t="s">
        <v>231</v>
      </c>
      <c r="F18" s="29" t="s">
        <v>231</v>
      </c>
      <c r="G18" s="29" t="s">
        <v>231</v>
      </c>
      <c r="H18" s="399" t="s">
        <v>254</v>
      </c>
      <c r="I18" s="21"/>
    </row>
    <row r="19" spans="2:20" ht="14.25" x14ac:dyDescent="0.2">
      <c r="B19" s="597" t="s">
        <v>244</v>
      </c>
      <c r="C19" s="619"/>
      <c r="D19" s="39">
        <v>0.1525</v>
      </c>
      <c r="E19" s="39">
        <v>0.26319999999999999</v>
      </c>
      <c r="F19" s="39">
        <v>0.4103</v>
      </c>
      <c r="G19" s="55">
        <v>0.34</v>
      </c>
      <c r="H19" s="399" t="s">
        <v>254</v>
      </c>
      <c r="I19" s="16"/>
    </row>
    <row r="20" spans="2:20" ht="29.25" customHeight="1" x14ac:dyDescent="0.2">
      <c r="B20" s="597" t="s">
        <v>246</v>
      </c>
      <c r="C20" s="619"/>
      <c r="D20" s="39">
        <v>0.39240000000000003</v>
      </c>
      <c r="E20" s="39">
        <v>0.4425</v>
      </c>
      <c r="F20" s="39">
        <v>0.38100000000000001</v>
      </c>
      <c r="G20" s="55">
        <v>0.73</v>
      </c>
      <c r="H20" s="399" t="s">
        <v>254</v>
      </c>
      <c r="I20" s="16"/>
    </row>
    <row r="21" spans="2:20" ht="29.25" customHeight="1" x14ac:dyDescent="0.2">
      <c r="B21" s="619" t="s">
        <v>245</v>
      </c>
      <c r="C21" s="627"/>
      <c r="D21" s="29" t="s">
        <v>231</v>
      </c>
      <c r="E21" s="29" t="s">
        <v>231</v>
      </c>
      <c r="F21" s="29" t="s">
        <v>231</v>
      </c>
      <c r="G21" s="55">
        <v>0.61</v>
      </c>
      <c r="H21" s="399" t="s">
        <v>254</v>
      </c>
      <c r="I21" s="21"/>
    </row>
    <row r="22" spans="2:20" ht="29.25" customHeight="1" x14ac:dyDescent="0.2">
      <c r="B22" s="597" t="s">
        <v>247</v>
      </c>
      <c r="C22" s="619"/>
      <c r="D22" s="39">
        <v>0.81689999999999996</v>
      </c>
      <c r="E22" s="39">
        <v>0.73360000000000003</v>
      </c>
      <c r="F22" s="39">
        <v>0.77939999999999998</v>
      </c>
      <c r="G22" s="55">
        <v>0.55000000000000004</v>
      </c>
      <c r="H22" s="399" t="s">
        <v>254</v>
      </c>
      <c r="I22" s="16"/>
    </row>
    <row r="23" spans="2:20" ht="22.5" customHeight="1" x14ac:dyDescent="0.2">
      <c r="B23" s="597" t="s">
        <v>248</v>
      </c>
      <c r="C23" s="619"/>
      <c r="D23" s="39">
        <v>0.47539999999999999</v>
      </c>
      <c r="E23" s="39">
        <v>0.45450000000000002</v>
      </c>
      <c r="F23" s="39">
        <v>0.39860000000000001</v>
      </c>
      <c r="G23" s="55">
        <v>0.53</v>
      </c>
      <c r="H23" s="399" t="s">
        <v>254</v>
      </c>
      <c r="I23" s="16"/>
    </row>
    <row r="24" spans="2:20" ht="22.5" customHeight="1" x14ac:dyDescent="0.25">
      <c r="B24" s="619" t="s">
        <v>258</v>
      </c>
      <c r="C24" s="624"/>
      <c r="D24" s="51">
        <f>COUNTIF(D13:D23,"&gt;50%")</f>
        <v>5</v>
      </c>
      <c r="E24" s="51">
        <f>COUNTIF(E13:E23,"&gt;50%")</f>
        <v>5</v>
      </c>
      <c r="F24" s="51">
        <f>COUNTIF(F13:F23,"&gt;50%")</f>
        <v>4</v>
      </c>
      <c r="G24" s="51">
        <f>COUNTIF(G13:G23,"&gt;50%")</f>
        <v>6</v>
      </c>
      <c r="H24" s="399" t="s">
        <v>254</v>
      </c>
    </row>
    <row r="25" spans="2:20" ht="22.5" customHeight="1" x14ac:dyDescent="0.25">
      <c r="B25" s="619" t="s">
        <v>259</v>
      </c>
      <c r="C25" s="624"/>
      <c r="D25" s="51">
        <f>COUNT(D13:D23)</f>
        <v>9</v>
      </c>
      <c r="E25" s="51">
        <f>COUNT(E13:E23)</f>
        <v>9</v>
      </c>
      <c r="F25" s="51">
        <f>COUNT(F13:F23)</f>
        <v>7</v>
      </c>
      <c r="G25" s="51">
        <f>COUNT(G13:G23)</f>
        <v>8</v>
      </c>
      <c r="H25" s="399" t="s">
        <v>254</v>
      </c>
    </row>
    <row r="26" spans="2:20" ht="22.5" customHeight="1" x14ac:dyDescent="0.25">
      <c r="B26" s="622" t="s">
        <v>225</v>
      </c>
      <c r="C26" s="623"/>
      <c r="D26" s="488">
        <v>0.5</v>
      </c>
      <c r="E26" s="488">
        <v>0.5</v>
      </c>
      <c r="F26" s="488">
        <v>0.5</v>
      </c>
      <c r="G26" s="488">
        <v>0.5</v>
      </c>
      <c r="H26" s="488" t="s">
        <v>254</v>
      </c>
      <c r="I26" s="398"/>
    </row>
    <row r="27" spans="2:20" ht="22.5" customHeight="1" x14ac:dyDescent="0.25">
      <c r="B27" s="622" t="s">
        <v>226</v>
      </c>
      <c r="C27" s="623"/>
      <c r="D27" s="358">
        <v>0.55559999999999998</v>
      </c>
      <c r="E27" s="358">
        <v>0.55559999999999998</v>
      </c>
      <c r="F27" s="358">
        <v>0.57140000000000002</v>
      </c>
      <c r="G27" s="489">
        <v>0.75</v>
      </c>
      <c r="H27" s="489" t="s">
        <v>254</v>
      </c>
      <c r="I27" s="397"/>
    </row>
    <row r="28" spans="2:20" ht="22.5" customHeight="1" x14ac:dyDescent="0.3">
      <c r="B28" s="291"/>
      <c r="C28" s="291"/>
      <c r="D28" s="286"/>
      <c r="E28" s="286"/>
      <c r="F28" s="286"/>
      <c r="G28" s="286"/>
    </row>
    <row r="29" spans="2:20" ht="22.5" customHeight="1" x14ac:dyDescent="0.2">
      <c r="B29" s="572" t="s">
        <v>227</v>
      </c>
      <c r="C29" s="573"/>
      <c r="D29" s="573"/>
      <c r="E29" s="574"/>
      <c r="F29" s="6"/>
    </row>
    <row r="30" spans="2:20" ht="22.5" customHeight="1" x14ac:dyDescent="0.2">
      <c r="B30" s="6"/>
      <c r="C30" s="6"/>
      <c r="D30" s="6"/>
      <c r="E30" s="6"/>
      <c r="F30" s="6"/>
      <c r="Q30" s="572" t="s">
        <v>228</v>
      </c>
      <c r="R30" s="573"/>
      <c r="S30" s="573"/>
      <c r="T30" s="574"/>
    </row>
    <row r="31" spans="2:20" ht="6" customHeight="1" x14ac:dyDescent="0.2">
      <c r="B31" s="6"/>
      <c r="C31" s="6"/>
      <c r="D31" s="6"/>
      <c r="E31" s="6"/>
      <c r="F31" s="6"/>
      <c r="Q31" s="7"/>
      <c r="R31" s="7"/>
      <c r="S31" s="7"/>
      <c r="T31" s="7"/>
    </row>
    <row r="32" spans="2:20" ht="19.5" customHeight="1" x14ac:dyDescent="0.2">
      <c r="B32" s="6"/>
      <c r="C32" s="6"/>
      <c r="D32" s="6"/>
      <c r="E32" s="6"/>
      <c r="F32" s="6"/>
      <c r="Q32" s="610" t="s">
        <v>260</v>
      </c>
      <c r="R32" s="560"/>
      <c r="S32" s="560"/>
      <c r="T32" s="561"/>
    </row>
    <row r="33" spans="17:20" ht="19.5" customHeight="1" x14ac:dyDescent="0.2">
      <c r="Q33" s="562"/>
      <c r="R33" s="563"/>
      <c r="S33" s="563"/>
      <c r="T33" s="564"/>
    </row>
    <row r="34" spans="17:20" ht="19.5" customHeight="1" x14ac:dyDescent="0.2">
      <c r="Q34" s="562"/>
      <c r="R34" s="563"/>
      <c r="S34" s="563"/>
      <c r="T34" s="564"/>
    </row>
    <row r="35" spans="17:20" ht="19.5" customHeight="1" x14ac:dyDescent="0.2">
      <c r="Q35" s="562"/>
      <c r="R35" s="563"/>
      <c r="S35" s="563"/>
      <c r="T35" s="564"/>
    </row>
    <row r="36" spans="17:20" ht="19.5" customHeight="1" x14ac:dyDescent="0.2">
      <c r="Q36" s="562"/>
      <c r="R36" s="563"/>
      <c r="S36" s="563"/>
      <c r="T36" s="564"/>
    </row>
    <row r="37" spans="17:20" ht="19.5" customHeight="1" x14ac:dyDescent="0.2">
      <c r="Q37" s="562"/>
      <c r="R37" s="563"/>
      <c r="S37" s="563"/>
      <c r="T37" s="564"/>
    </row>
    <row r="38" spans="17:20" ht="19.5" customHeight="1" x14ac:dyDescent="0.2">
      <c r="Q38" s="562"/>
      <c r="R38" s="563"/>
      <c r="S38" s="563"/>
      <c r="T38" s="564"/>
    </row>
    <row r="39" spans="17:20" ht="19.5" customHeight="1" x14ac:dyDescent="0.2">
      <c r="Q39" s="562"/>
      <c r="R39" s="563"/>
      <c r="S39" s="563"/>
      <c r="T39" s="564"/>
    </row>
    <row r="40" spans="17:20" ht="19.5" customHeight="1" x14ac:dyDescent="0.2">
      <c r="Q40" s="565"/>
      <c r="R40" s="566"/>
      <c r="S40" s="566"/>
      <c r="T40" s="567"/>
    </row>
  </sheetData>
  <sheetProtection algorithmName="SHA-512" hashValue="CMUNoHsK3fOrIYyXIRujDNhxJ5VM8B5z+TFZ5uIqQSHdFF844vPcf8nXEqY3gGek8zYPkuhi+X8OWkaOga+ViQ==" saltValue="YX8L18v6uHMuqPo8dK5axw==" spinCount="100000" sheet="1" formatCells="0" formatColumns="0" formatRows="0" insertColumns="0" insertRows="0" insertHyperlinks="0" deleteColumns="0" deleteRows="0" pivotTables="0"/>
  <mergeCells count="34">
    <mergeCell ref="B2:D2"/>
    <mergeCell ref="B4:C4"/>
    <mergeCell ref="D4:E4"/>
    <mergeCell ref="F4:G4"/>
    <mergeCell ref="F6:G6"/>
    <mergeCell ref="D5:E5"/>
    <mergeCell ref="F5:G5"/>
    <mergeCell ref="D6:E6"/>
    <mergeCell ref="B24:C24"/>
    <mergeCell ref="B17:C17"/>
    <mergeCell ref="H4:N4"/>
    <mergeCell ref="H5:N5"/>
    <mergeCell ref="H6:N6"/>
    <mergeCell ref="B5:C5"/>
    <mergeCell ref="B6:C6"/>
    <mergeCell ref="D7:N7"/>
    <mergeCell ref="B21:C21"/>
    <mergeCell ref="B7:C7"/>
    <mergeCell ref="Q30:T30"/>
    <mergeCell ref="Q32:T40"/>
    <mergeCell ref="B22:C22"/>
    <mergeCell ref="B23:C23"/>
    <mergeCell ref="B9:G9"/>
    <mergeCell ref="B13:C13"/>
    <mergeCell ref="B15:C15"/>
    <mergeCell ref="B16:C16"/>
    <mergeCell ref="B19:C19"/>
    <mergeCell ref="B20:C20"/>
    <mergeCell ref="B26:C26"/>
    <mergeCell ref="B27:C27"/>
    <mergeCell ref="B29:E29"/>
    <mergeCell ref="B25:C25"/>
    <mergeCell ref="B18:C18"/>
    <mergeCell ref="B14:C14"/>
  </mergeCells>
  <conditionalFormatting sqref="D13:G13 D14 F14:G14 D15:G23">
    <cfRule type="cellIs" dxfId="56" priority="1" operator="lessThan">
      <formula>0.5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734D-364B-42B2-BF51-ED2B388276B2}">
  <sheetPr>
    <tabColor theme="9" tint="-0.499984740745262"/>
    <pageSetUpPr fitToPage="1"/>
  </sheetPr>
  <dimension ref="B2:L37"/>
  <sheetViews>
    <sheetView showGridLines="0" topLeftCell="A9" workbookViewId="0">
      <selection activeCell="I16" sqref="I16:L2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2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  <c r="K2" s="1"/>
    </row>
    <row r="3" spans="2:12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2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2" ht="22.5" customHeight="1" x14ac:dyDescent="0.2">
      <c r="B5" s="572" t="s">
        <v>210</v>
      </c>
      <c r="C5" s="574"/>
      <c r="D5" s="651" t="e">
        <f>#REF!</f>
        <v>#REF!</v>
      </c>
      <c r="E5" s="652"/>
      <c r="F5" s="653" t="s">
        <v>211</v>
      </c>
      <c r="G5" s="654"/>
      <c r="H5" s="655" t="s">
        <v>212</v>
      </c>
      <c r="I5" s="656"/>
      <c r="J5" s="657"/>
    </row>
    <row r="6" spans="2:12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3"/>
      <c r="H6" s="10" t="e">
        <f>#REF!</f>
        <v>#REF!</v>
      </c>
      <c r="I6" s="38"/>
      <c r="J6" s="17"/>
    </row>
    <row r="7" spans="2:12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17"/>
      <c r="I7" s="617"/>
      <c r="J7" s="618"/>
    </row>
    <row r="8" spans="2:12" ht="7.5" customHeight="1" x14ac:dyDescent="0.2"/>
    <row r="9" spans="2:12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2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2" ht="22.5" customHeight="1" x14ac:dyDescent="0.2"/>
    <row r="12" spans="2:12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84"/>
      <c r="K12" s="22"/>
    </row>
    <row r="13" spans="2:12" ht="41.25" customHeight="1" x14ac:dyDescent="0.2">
      <c r="B13" s="597" t="s">
        <v>261</v>
      </c>
      <c r="C13" s="619"/>
      <c r="D13" s="55">
        <v>0.94340000000000002</v>
      </c>
      <c r="E13" s="55">
        <v>0.91</v>
      </c>
      <c r="F13" s="55">
        <v>0.97</v>
      </c>
      <c r="G13" s="55">
        <v>0.92</v>
      </c>
      <c r="H13" s="62" t="s">
        <v>254</v>
      </c>
      <c r="I13" s="21"/>
      <c r="K13" s="16"/>
    </row>
    <row r="14" spans="2:12" ht="43.5" customHeight="1" x14ac:dyDescent="0.2">
      <c r="B14" s="597" t="s">
        <v>262</v>
      </c>
      <c r="C14" s="619"/>
      <c r="D14" s="39">
        <v>0.82350000000000001</v>
      </c>
      <c r="E14" s="389">
        <v>0.83</v>
      </c>
      <c r="F14" s="55">
        <v>0.76</v>
      </c>
      <c r="G14" s="55">
        <v>0.85</v>
      </c>
      <c r="H14" s="62" t="s">
        <v>254</v>
      </c>
      <c r="I14" s="646" t="s">
        <v>228</v>
      </c>
      <c r="J14" s="573"/>
      <c r="K14" s="573"/>
      <c r="L14" s="574"/>
    </row>
    <row r="15" spans="2:12" ht="29.25" customHeight="1" x14ac:dyDescent="0.2">
      <c r="B15" s="597" t="s">
        <v>263</v>
      </c>
      <c r="C15" s="619"/>
      <c r="D15" s="55">
        <v>0.93</v>
      </c>
      <c r="E15" s="55">
        <v>1</v>
      </c>
      <c r="F15" s="55">
        <v>0.9</v>
      </c>
      <c r="G15" s="389">
        <v>0.67</v>
      </c>
      <c r="H15" s="62" t="s">
        <v>254</v>
      </c>
      <c r="I15" s="7"/>
      <c r="J15" s="7"/>
      <c r="K15" s="7"/>
    </row>
    <row r="16" spans="2:12" ht="37.5" customHeight="1" x14ac:dyDescent="0.2">
      <c r="B16" s="597" t="s">
        <v>264</v>
      </c>
      <c r="C16" s="619"/>
      <c r="D16" s="389">
        <v>0.89</v>
      </c>
      <c r="E16" s="55">
        <v>0.92</v>
      </c>
      <c r="F16" s="55">
        <v>0.88</v>
      </c>
      <c r="G16" s="55">
        <v>0.86</v>
      </c>
      <c r="H16" s="62" t="s">
        <v>254</v>
      </c>
      <c r="I16" s="647" t="s">
        <v>260</v>
      </c>
      <c r="J16" s="560"/>
      <c r="K16" s="560"/>
      <c r="L16" s="561"/>
    </row>
    <row r="17" spans="2:12" ht="29.25" customHeight="1" x14ac:dyDescent="0.2">
      <c r="B17" s="597" t="s">
        <v>247</v>
      </c>
      <c r="C17" s="619"/>
      <c r="D17" s="389">
        <v>0.91</v>
      </c>
      <c r="E17" s="55">
        <v>0.9</v>
      </c>
      <c r="F17" s="55">
        <v>1</v>
      </c>
      <c r="G17" s="55">
        <v>0.92</v>
      </c>
      <c r="H17" s="62" t="s">
        <v>254</v>
      </c>
      <c r="I17" s="648"/>
      <c r="J17" s="563"/>
      <c r="K17" s="563"/>
      <c r="L17" s="564"/>
    </row>
    <row r="18" spans="2:12" ht="29.25" customHeight="1" x14ac:dyDescent="0.2">
      <c r="B18" s="597" t="s">
        <v>265</v>
      </c>
      <c r="C18" s="619"/>
      <c r="D18" s="389">
        <v>1</v>
      </c>
      <c r="E18" s="55">
        <v>1</v>
      </c>
      <c r="F18" s="55" t="s">
        <v>231</v>
      </c>
      <c r="G18" s="55">
        <v>1</v>
      </c>
      <c r="H18" s="62" t="s">
        <v>254</v>
      </c>
      <c r="I18" s="648"/>
      <c r="J18" s="563"/>
      <c r="K18" s="563"/>
      <c r="L18" s="564"/>
    </row>
    <row r="19" spans="2:12" ht="15" customHeight="1" x14ac:dyDescent="0.2">
      <c r="B19" s="597" t="s">
        <v>266</v>
      </c>
      <c r="C19" s="619"/>
      <c r="D19" s="55">
        <v>0.95</v>
      </c>
      <c r="E19" s="55">
        <v>1</v>
      </c>
      <c r="F19" s="55">
        <v>0.94</v>
      </c>
      <c r="G19" s="389">
        <v>0.56000000000000005</v>
      </c>
      <c r="H19" s="62" t="s">
        <v>254</v>
      </c>
      <c r="I19" s="648"/>
      <c r="J19" s="563"/>
      <c r="K19" s="563"/>
      <c r="L19" s="564"/>
    </row>
    <row r="20" spans="2:12" ht="22.5" customHeight="1" x14ac:dyDescent="0.2">
      <c r="B20" s="642" t="s">
        <v>267</v>
      </c>
      <c r="C20" s="643"/>
      <c r="D20" s="48">
        <f>COUNTIF(D13:D19,"&gt;85%")</f>
        <v>6</v>
      </c>
      <c r="E20" s="48">
        <f>COUNTIF(E13:E19,"&gt;85%")</f>
        <v>6</v>
      </c>
      <c r="F20" s="48">
        <f>COUNTIF(F13:F19,"&gt;85%")</f>
        <v>5</v>
      </c>
      <c r="G20" s="48">
        <v>5</v>
      </c>
      <c r="H20" s="62" t="s">
        <v>254</v>
      </c>
      <c r="I20" s="648"/>
      <c r="J20" s="563"/>
      <c r="K20" s="563"/>
      <c r="L20" s="564"/>
    </row>
    <row r="21" spans="2:12" ht="22.5" customHeight="1" x14ac:dyDescent="0.2">
      <c r="B21" s="644" t="s">
        <v>268</v>
      </c>
      <c r="C21" s="645"/>
      <c r="D21" s="48">
        <f>COUNT(D13:D18)</f>
        <v>6</v>
      </c>
      <c r="E21" s="48">
        <f>COUNT(F13:F20)</f>
        <v>7</v>
      </c>
      <c r="F21" s="48">
        <v>7</v>
      </c>
      <c r="G21" s="48">
        <v>7</v>
      </c>
      <c r="H21" s="62" t="s">
        <v>254</v>
      </c>
      <c r="I21" s="648"/>
      <c r="J21" s="563"/>
      <c r="K21" s="563"/>
      <c r="L21" s="564"/>
    </row>
    <row r="22" spans="2:12" ht="22.5" customHeight="1" x14ac:dyDescent="0.2">
      <c r="B22" s="640" t="s">
        <v>225</v>
      </c>
      <c r="C22" s="641"/>
      <c r="D22" s="486">
        <v>0.85</v>
      </c>
      <c r="E22" s="486">
        <v>0.85</v>
      </c>
      <c r="F22" s="490">
        <v>0.85</v>
      </c>
      <c r="G22" s="490">
        <v>0.85</v>
      </c>
      <c r="H22" s="62" t="s">
        <v>254</v>
      </c>
      <c r="I22" s="648"/>
      <c r="J22" s="563"/>
      <c r="K22" s="563"/>
      <c r="L22" s="564"/>
    </row>
    <row r="23" spans="2:12" ht="22.5" customHeight="1" x14ac:dyDescent="0.2">
      <c r="B23" s="640" t="s">
        <v>226</v>
      </c>
      <c r="C23" s="641"/>
      <c r="D23" s="487">
        <f>D20/D21</f>
        <v>1</v>
      </c>
      <c r="E23" s="50">
        <f>E20/E21</f>
        <v>0.8571428571428571</v>
      </c>
      <c r="F23" s="50">
        <f>F20/F21</f>
        <v>0.7142857142857143</v>
      </c>
      <c r="G23" s="50">
        <f>G20/G21</f>
        <v>0.7142857142857143</v>
      </c>
      <c r="H23" s="62" t="s">
        <v>254</v>
      </c>
      <c r="I23" s="566"/>
      <c r="J23" s="566"/>
      <c r="K23" s="566"/>
      <c r="L23" s="567"/>
    </row>
    <row r="24" spans="2:12" ht="22.5" customHeight="1" x14ac:dyDescent="0.25">
      <c r="B24" s="5"/>
      <c r="C24" s="5"/>
      <c r="D24" s="4"/>
      <c r="E24" s="4"/>
      <c r="F24" s="4"/>
      <c r="G24" s="4"/>
      <c r="H24" s="4"/>
      <c r="I24" s="4"/>
      <c r="J24" s="4"/>
    </row>
    <row r="25" spans="2:12" ht="22.5" customHeight="1" x14ac:dyDescent="0.2">
      <c r="B25" s="572" t="s">
        <v>227</v>
      </c>
      <c r="C25" s="573"/>
      <c r="D25" s="573"/>
      <c r="E25" s="574"/>
      <c r="F25" s="6"/>
    </row>
    <row r="37" spans="8:10" ht="19.5" customHeight="1" x14ac:dyDescent="0.2">
      <c r="H37" s="568" t="s">
        <v>169</v>
      </c>
      <c r="I37" s="569"/>
      <c r="J37" s="569"/>
    </row>
  </sheetData>
  <sheetProtection algorithmName="SHA-512" hashValue="WIEmyL+d0TqyrEAdBunXrEstaISJo/5IHOdBEbNnVdHNK2OwWkAASvlQeUlVmm6TnYvLXbcf/TAiBpA/DS4wSA==" saltValue="YVZsXelNjJvcI9VFDanyfA==" spinCount="100000" sheet="1" formatCells="0" formatColumns="0" formatRows="0" insertColumns="0" insertRows="0" insertHyperlinks="0" deleteColumns="0" deleteRows="0" pivotTables="0"/>
  <mergeCells count="31">
    <mergeCell ref="B2:D2"/>
    <mergeCell ref="E2:J2"/>
    <mergeCell ref="B4:C4"/>
    <mergeCell ref="D4:E4"/>
    <mergeCell ref="F4:G4"/>
    <mergeCell ref="H4:J4"/>
    <mergeCell ref="B9:J9"/>
    <mergeCell ref="B13:C13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I14:L14"/>
    <mergeCell ref="I16:L23"/>
    <mergeCell ref="B16:C16"/>
    <mergeCell ref="B14:C14"/>
    <mergeCell ref="B15:C15"/>
    <mergeCell ref="H37:J37"/>
    <mergeCell ref="B18:C18"/>
    <mergeCell ref="B22:C22"/>
    <mergeCell ref="B23:C23"/>
    <mergeCell ref="B17:C17"/>
    <mergeCell ref="B19:C19"/>
    <mergeCell ref="B20:C20"/>
    <mergeCell ref="B21:C21"/>
    <mergeCell ref="B25:E25"/>
  </mergeCells>
  <conditionalFormatting sqref="B12:G19">
    <cfRule type="cellIs" priority="2" operator="lessThan">
      <formula>0.85</formula>
    </cfRule>
  </conditionalFormatting>
  <conditionalFormatting sqref="D13:F19">
    <cfRule type="cellIs" priority="5" operator="lessThan">
      <formula>0.85</formula>
    </cfRule>
  </conditionalFormatting>
  <conditionalFormatting sqref="H12">
    <cfRule type="cellIs" priority="1" operator="lessThan">
      <formula>0.85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91E9-DD39-42C6-9001-D24FE1F38A81}">
  <sheetPr>
    <tabColor theme="9" tint="-0.499984740745262"/>
    <pageSetUpPr fitToPage="1"/>
  </sheetPr>
  <dimension ref="B2:K48"/>
  <sheetViews>
    <sheetView showGridLines="0" workbookViewId="0">
      <selection activeCell="G13" sqref="G1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8" width="12.5703125" customWidth="1"/>
    <col min="9" max="9" width="36.28515625" customWidth="1"/>
    <col min="10" max="10" width="8.85546875" customWidth="1"/>
    <col min="11" max="20" width="7.5703125" customWidth="1"/>
  </cols>
  <sheetData>
    <row r="2" spans="2:9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8"/>
    </row>
    <row r="3" spans="2:9" ht="22.5" customHeight="1" x14ac:dyDescent="0.2">
      <c r="B3" s="44"/>
      <c r="C3" s="44"/>
      <c r="D3" s="45"/>
      <c r="E3" s="45"/>
      <c r="F3" s="45"/>
      <c r="G3" s="45"/>
      <c r="H3" s="45"/>
    </row>
    <row r="4" spans="2:9" ht="42" customHeight="1" x14ac:dyDescent="0.2">
      <c r="B4" s="572" t="s">
        <v>208</v>
      </c>
      <c r="C4" s="574"/>
      <c r="D4" s="649" t="e">
        <f>#REF!</f>
        <v>#REF!</v>
      </c>
      <c r="E4" s="658"/>
      <c r="F4" s="68" t="s">
        <v>209</v>
      </c>
      <c r="G4" s="649" t="e">
        <f>#REF!</f>
        <v>#REF!</v>
      </c>
      <c r="H4" s="650"/>
      <c r="I4" s="658"/>
    </row>
    <row r="5" spans="2:9" ht="22.5" customHeight="1" x14ac:dyDescent="0.2">
      <c r="B5" s="572" t="s">
        <v>210</v>
      </c>
      <c r="C5" s="574"/>
      <c r="D5" s="651" t="e">
        <f>#REF!</f>
        <v>#REF!</v>
      </c>
      <c r="E5" s="652"/>
      <c r="F5" s="117" t="s">
        <v>211</v>
      </c>
      <c r="G5" s="655" t="s">
        <v>235</v>
      </c>
      <c r="H5" s="656"/>
      <c r="I5" s="657"/>
    </row>
    <row r="6" spans="2:9" ht="22.5" customHeight="1" x14ac:dyDescent="0.2">
      <c r="B6" s="572" t="s">
        <v>213</v>
      </c>
      <c r="C6" s="574"/>
      <c r="D6" s="668" t="s">
        <v>214</v>
      </c>
      <c r="E6" s="612"/>
      <c r="F6" s="277" t="s">
        <v>236</v>
      </c>
      <c r="G6" s="122" t="e">
        <f>#REF!</f>
        <v>#REF!</v>
      </c>
      <c r="H6" s="278"/>
      <c r="I6" s="112"/>
    </row>
    <row r="7" spans="2:9" ht="22.5" customHeight="1" x14ac:dyDescent="0.2">
      <c r="B7" s="572" t="s">
        <v>216</v>
      </c>
      <c r="C7" s="573"/>
      <c r="D7" s="669" t="e">
        <f>#REF!</f>
        <v>#REF!</v>
      </c>
      <c r="E7" s="670"/>
      <c r="F7" s="670"/>
      <c r="G7" s="670"/>
      <c r="H7" s="670"/>
      <c r="I7" s="671"/>
    </row>
    <row r="8" spans="2:9" ht="7.5" customHeight="1" x14ac:dyDescent="0.2"/>
    <row r="9" spans="2:9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4"/>
    </row>
    <row r="10" spans="2:9" ht="22.5" customHeight="1" x14ac:dyDescent="0.2">
      <c r="B10" s="18" t="s">
        <v>169</v>
      </c>
      <c r="C10" s="11"/>
      <c r="D10" s="11"/>
      <c r="E10" s="11"/>
      <c r="F10" s="11"/>
      <c r="G10" s="11"/>
      <c r="H10" s="11"/>
      <c r="I10" s="11"/>
    </row>
    <row r="11" spans="2:9" ht="22.5" customHeight="1" x14ac:dyDescent="0.2"/>
    <row r="12" spans="2:9" ht="22.5" customHeight="1" x14ac:dyDescent="0.2">
      <c r="B12" s="14"/>
      <c r="C12" s="14"/>
      <c r="D12" s="98">
        <v>2014</v>
      </c>
      <c r="E12" s="98">
        <v>2017</v>
      </c>
      <c r="F12" s="98">
        <v>2020</v>
      </c>
      <c r="G12" s="98">
        <v>2023</v>
      </c>
      <c r="I12" s="22"/>
    </row>
    <row r="13" spans="2:9" ht="41.25" customHeight="1" x14ac:dyDescent="0.2">
      <c r="B13" s="667" t="s">
        <v>238</v>
      </c>
      <c r="C13" s="667"/>
      <c r="D13" s="62">
        <v>0.7</v>
      </c>
      <c r="E13" s="73">
        <v>0.84199999999999997</v>
      </c>
      <c r="F13" s="62">
        <v>0.77</v>
      </c>
      <c r="G13" s="73">
        <v>0.85570000000000002</v>
      </c>
      <c r="I13" s="16"/>
    </row>
    <row r="14" spans="2:9" ht="13.5" x14ac:dyDescent="0.2">
      <c r="B14" s="667" t="s">
        <v>240</v>
      </c>
      <c r="C14" s="667"/>
      <c r="D14" s="62">
        <v>0.87</v>
      </c>
      <c r="E14" s="73">
        <v>0.95699999999999996</v>
      </c>
      <c r="F14" s="73">
        <v>0.90300000000000002</v>
      </c>
      <c r="G14" s="73">
        <v>0.92600000000000005</v>
      </c>
      <c r="I14" s="16"/>
    </row>
    <row r="15" spans="2:9" ht="13.5" x14ac:dyDescent="0.2">
      <c r="B15" s="667" t="s">
        <v>241</v>
      </c>
      <c r="C15" s="667"/>
      <c r="D15" s="73" t="s">
        <v>269</v>
      </c>
      <c r="E15" s="73" t="s">
        <v>269</v>
      </c>
      <c r="F15" s="62">
        <v>0.87</v>
      </c>
      <c r="G15" s="62">
        <v>0.95</v>
      </c>
      <c r="I15" s="16"/>
    </row>
    <row r="16" spans="2:9" ht="37.5" customHeight="1" x14ac:dyDescent="0.2">
      <c r="B16" s="667" t="s">
        <v>244</v>
      </c>
      <c r="C16" s="667"/>
      <c r="D16" s="88" t="s">
        <v>270</v>
      </c>
      <c r="E16" s="73">
        <v>0.69599999999999995</v>
      </c>
      <c r="F16" s="73">
        <v>0.90300000000000002</v>
      </c>
      <c r="G16" s="73">
        <v>0.93200000000000005</v>
      </c>
      <c r="I16" s="16"/>
    </row>
    <row r="17" spans="2:11" ht="50.25" customHeight="1" x14ac:dyDescent="0.2">
      <c r="B17" s="667" t="s">
        <v>245</v>
      </c>
      <c r="C17" s="667"/>
      <c r="D17" s="73" t="s">
        <v>271</v>
      </c>
      <c r="E17" s="73" t="s">
        <v>271</v>
      </c>
      <c r="F17" s="73" t="s">
        <v>271</v>
      </c>
      <c r="G17" s="73" t="s">
        <v>271</v>
      </c>
      <c r="I17" s="16"/>
    </row>
    <row r="18" spans="2:11" ht="29.25" customHeight="1" x14ac:dyDescent="0.2">
      <c r="B18" s="667" t="s">
        <v>246</v>
      </c>
      <c r="C18" s="667"/>
      <c r="D18" s="73">
        <v>0.95699999999999996</v>
      </c>
      <c r="E18" s="62">
        <v>0.87</v>
      </c>
      <c r="F18" s="73">
        <v>0.90300000000000002</v>
      </c>
      <c r="G18" s="73">
        <v>0.88600000000000001</v>
      </c>
      <c r="I18" s="16"/>
    </row>
    <row r="19" spans="2:11" ht="29.25" customHeight="1" x14ac:dyDescent="0.2">
      <c r="B19" s="667" t="s">
        <v>247</v>
      </c>
      <c r="C19" s="667"/>
      <c r="D19" s="73" t="s">
        <v>272</v>
      </c>
      <c r="E19" s="73" t="s">
        <v>273</v>
      </c>
      <c r="F19" s="73">
        <v>0.91100000000000003</v>
      </c>
      <c r="G19" s="73">
        <v>0.83599999999999997</v>
      </c>
      <c r="I19" s="21"/>
    </row>
    <row r="20" spans="2:11" ht="15" customHeight="1" x14ac:dyDescent="0.2">
      <c r="B20" s="667" t="s">
        <v>248</v>
      </c>
      <c r="C20" s="667"/>
      <c r="D20" s="73">
        <v>0.81299999999999994</v>
      </c>
      <c r="E20" s="73">
        <v>0.91800000000000004</v>
      </c>
      <c r="F20" s="73">
        <v>0.90600000000000003</v>
      </c>
      <c r="G20" s="73">
        <v>0.90100000000000002</v>
      </c>
      <c r="I20" s="16"/>
    </row>
    <row r="21" spans="2:11" ht="39" customHeight="1" x14ac:dyDescent="0.2">
      <c r="B21" s="667" t="s">
        <v>261</v>
      </c>
      <c r="C21" s="667"/>
      <c r="D21" s="73">
        <v>0.878</v>
      </c>
      <c r="E21" s="73">
        <v>0.92200000000000004</v>
      </c>
      <c r="F21" s="73">
        <v>0.875</v>
      </c>
      <c r="G21" s="62">
        <v>0.9</v>
      </c>
      <c r="I21" s="16"/>
    </row>
    <row r="22" spans="2:11" ht="45" customHeight="1" x14ac:dyDescent="0.2">
      <c r="B22" s="667" t="s">
        <v>274</v>
      </c>
      <c r="C22" s="667"/>
      <c r="D22" s="73">
        <v>0.76300000000000001</v>
      </c>
      <c r="E22" s="73">
        <v>0.76800000000000002</v>
      </c>
      <c r="F22" s="62">
        <v>0.85</v>
      </c>
      <c r="G22" s="73">
        <v>0.95199999999999996</v>
      </c>
      <c r="I22" s="16"/>
    </row>
    <row r="23" spans="2:11" ht="28.5" customHeight="1" x14ac:dyDescent="0.2">
      <c r="B23" s="667" t="s">
        <v>275</v>
      </c>
      <c r="C23" s="667"/>
      <c r="D23" s="73">
        <v>0.71899999999999997</v>
      </c>
      <c r="E23" s="73">
        <v>0.81299999999999994</v>
      </c>
      <c r="F23" s="73">
        <v>0.877</v>
      </c>
      <c r="G23" s="73">
        <v>0.76500000000000001</v>
      </c>
      <c r="I23" s="573"/>
      <c r="J23" s="573"/>
      <c r="K23" s="574"/>
    </row>
    <row r="24" spans="2:11" ht="33.75" customHeight="1" x14ac:dyDescent="0.2">
      <c r="B24" s="667" t="s">
        <v>276</v>
      </c>
      <c r="C24" s="667"/>
      <c r="D24" s="73">
        <v>0.76300000000000001</v>
      </c>
      <c r="E24" s="73">
        <v>0.76800000000000002</v>
      </c>
      <c r="F24" s="62">
        <v>0.85</v>
      </c>
      <c r="G24" s="73">
        <v>0.93600000000000005</v>
      </c>
      <c r="I24" s="7"/>
      <c r="J24" s="7"/>
      <c r="K24" s="7"/>
    </row>
    <row r="25" spans="2:11" ht="26.25" customHeight="1" x14ac:dyDescent="0.2">
      <c r="B25" s="667" t="s">
        <v>277</v>
      </c>
      <c r="C25" s="667"/>
      <c r="D25" s="62">
        <v>0.92</v>
      </c>
      <c r="E25" s="73">
        <v>0.89300000000000002</v>
      </c>
      <c r="F25" s="73">
        <v>0.97099999999999997</v>
      </c>
      <c r="G25" s="73">
        <v>0.95499999999999996</v>
      </c>
      <c r="I25" s="661" t="s">
        <v>278</v>
      </c>
      <c r="J25" s="661"/>
      <c r="K25" s="661"/>
    </row>
    <row r="26" spans="2:11" ht="26.25" customHeight="1" x14ac:dyDescent="0.2">
      <c r="B26" s="667" t="s">
        <v>265</v>
      </c>
      <c r="C26" s="667"/>
      <c r="D26" s="73">
        <v>0.83599999999999997</v>
      </c>
      <c r="E26" s="73">
        <v>0.88900000000000001</v>
      </c>
      <c r="F26" s="62">
        <v>0.88</v>
      </c>
      <c r="G26" s="73">
        <v>0.86699999999999999</v>
      </c>
      <c r="I26" s="662"/>
      <c r="J26" s="662"/>
      <c r="K26" s="661"/>
    </row>
    <row r="27" spans="2:11" ht="44.1" customHeight="1" x14ac:dyDescent="0.2">
      <c r="B27" s="667" t="s">
        <v>279</v>
      </c>
      <c r="C27" s="667"/>
      <c r="D27" s="62">
        <v>0.95</v>
      </c>
      <c r="E27" s="73">
        <v>0.69199999999999995</v>
      </c>
      <c r="F27" s="73">
        <v>0.82899999999999996</v>
      </c>
      <c r="G27" s="73">
        <v>0.92200000000000004</v>
      </c>
      <c r="I27" s="662"/>
      <c r="J27" s="662"/>
      <c r="K27" s="661"/>
    </row>
    <row r="28" spans="2:11" ht="26.45" customHeight="1" x14ac:dyDescent="0.2">
      <c r="B28" s="663" t="s">
        <v>280</v>
      </c>
      <c r="C28" s="664"/>
      <c r="D28" s="48">
        <f>COUNTIF(D13:D27,"&gt;=70%")</f>
        <v>11</v>
      </c>
      <c r="E28" s="48">
        <f t="shared" ref="E28:F28" si="0">COUNTIF(E13:E27,"&gt;=70%")</f>
        <v>10</v>
      </c>
      <c r="F28" s="48">
        <f t="shared" si="0"/>
        <v>14</v>
      </c>
      <c r="G28" s="48">
        <f t="shared" ref="G28" si="1">COUNTIF(G13:G27,"&gt;=70%")</f>
        <v>14</v>
      </c>
      <c r="H28" s="16"/>
      <c r="I28" s="662"/>
      <c r="J28" s="662"/>
      <c r="K28" s="661"/>
    </row>
    <row r="29" spans="2:11" ht="32.1" customHeight="1" x14ac:dyDescent="0.2">
      <c r="B29" s="663" t="s">
        <v>251</v>
      </c>
      <c r="C29" s="664"/>
      <c r="D29" s="48">
        <f>COUNT(D13:D27)</f>
        <v>11</v>
      </c>
      <c r="E29" s="48">
        <f>COUNT(E13:E27)</f>
        <v>12</v>
      </c>
      <c r="F29" s="48">
        <f>COUNT(F13:F27)</f>
        <v>14</v>
      </c>
      <c r="G29" s="48">
        <f>COUNT(G13:G27)</f>
        <v>14</v>
      </c>
      <c r="H29" s="16"/>
      <c r="I29" s="662"/>
      <c r="J29" s="662"/>
      <c r="K29" s="661"/>
    </row>
    <row r="30" spans="2:11" ht="32.1" customHeight="1" x14ac:dyDescent="0.2">
      <c r="B30" s="665" t="s">
        <v>4</v>
      </c>
      <c r="C30" s="666"/>
      <c r="D30" s="486">
        <v>0.7</v>
      </c>
      <c r="E30" s="486">
        <v>0.7</v>
      </c>
      <c r="F30" s="486">
        <v>0.7</v>
      </c>
      <c r="G30" s="486">
        <v>0.7</v>
      </c>
      <c r="H30" s="16"/>
      <c r="I30" s="662"/>
      <c r="J30" s="662"/>
      <c r="K30" s="661"/>
    </row>
    <row r="31" spans="2:11" ht="15" customHeight="1" x14ac:dyDescent="0.2">
      <c r="B31" s="665" t="s">
        <v>234</v>
      </c>
      <c r="C31" s="666"/>
      <c r="D31" s="487">
        <f>D28/D29</f>
        <v>1</v>
      </c>
      <c r="E31" s="50">
        <f>E28/E29</f>
        <v>0.83333333333333337</v>
      </c>
      <c r="F31" s="50">
        <f>F28/F29</f>
        <v>1</v>
      </c>
      <c r="G31" s="487">
        <f>G28/G29</f>
        <v>1</v>
      </c>
      <c r="H31" s="16"/>
      <c r="I31" s="662"/>
      <c r="J31" s="662"/>
      <c r="K31" s="661"/>
    </row>
    <row r="32" spans="2:11" ht="15" customHeight="1" x14ac:dyDescent="0.2">
      <c r="B32" s="19"/>
      <c r="C32" s="19"/>
      <c r="D32" s="20"/>
      <c r="E32" s="20"/>
      <c r="F32" s="20"/>
      <c r="H32" s="16"/>
      <c r="I32" s="662"/>
      <c r="J32" s="662"/>
      <c r="K32" s="661"/>
    </row>
    <row r="33" spans="2:11" ht="15" customHeight="1" x14ac:dyDescent="0.2">
      <c r="B33" s="19"/>
      <c r="C33" s="19"/>
      <c r="D33" s="20"/>
      <c r="E33" s="20"/>
      <c r="F33" s="20"/>
      <c r="H33" s="16"/>
      <c r="I33" s="661"/>
      <c r="J33" s="661"/>
      <c r="K33" s="661"/>
    </row>
    <row r="34" spans="2:11" ht="15" customHeight="1" x14ac:dyDescent="0.2">
      <c r="B34" s="19"/>
      <c r="C34" s="19"/>
      <c r="D34" s="20"/>
      <c r="E34" s="20"/>
      <c r="F34" s="20"/>
      <c r="H34" s="16"/>
      <c r="J34" s="16"/>
    </row>
    <row r="35" spans="2:11" ht="22.5" customHeight="1" x14ac:dyDescent="0.25">
      <c r="B35" s="5"/>
      <c r="C35" s="5"/>
      <c r="D35" s="4"/>
      <c r="E35" s="4"/>
      <c r="F35" s="4"/>
      <c r="G35" s="4"/>
      <c r="H35" s="4"/>
      <c r="I35" s="4"/>
    </row>
    <row r="36" spans="2:11" ht="22.5" customHeight="1" x14ac:dyDescent="0.2">
      <c r="B36" s="602" t="s">
        <v>227</v>
      </c>
      <c r="C36" s="603"/>
      <c r="D36" s="603"/>
      <c r="E36" s="603"/>
      <c r="F36" s="603"/>
      <c r="G36" s="603"/>
      <c r="H36" s="603"/>
      <c r="I36" s="603"/>
      <c r="J36" s="603"/>
      <c r="K36" s="603"/>
    </row>
    <row r="37" spans="2:11" ht="22.5" customHeight="1" x14ac:dyDescent="0.2">
      <c r="B37" s="6"/>
      <c r="C37" s="6"/>
      <c r="D37" s="6"/>
      <c r="E37" s="6"/>
      <c r="F37" s="6"/>
    </row>
    <row r="38" spans="2:11" ht="6" customHeight="1" x14ac:dyDescent="0.2">
      <c r="B38" s="6"/>
      <c r="C38" s="6"/>
      <c r="D38" s="6"/>
      <c r="E38" s="6"/>
      <c r="F38" s="6"/>
    </row>
    <row r="39" spans="2:11" ht="19.5" customHeight="1" x14ac:dyDescent="0.2">
      <c r="B39" s="6"/>
      <c r="C39" s="6"/>
      <c r="D39" s="6"/>
      <c r="E39" s="6"/>
      <c r="F39" s="6"/>
    </row>
    <row r="40" spans="2:11" ht="19.5" customHeight="1" x14ac:dyDescent="0.2">
      <c r="B40" s="6"/>
      <c r="C40" s="6"/>
      <c r="D40" s="6"/>
      <c r="E40" s="6"/>
      <c r="F40" s="6"/>
    </row>
    <row r="41" spans="2:11" ht="19.5" customHeight="1" x14ac:dyDescent="0.2">
      <c r="B41" s="6"/>
      <c r="C41" s="6"/>
      <c r="D41" s="6"/>
      <c r="E41" s="6"/>
      <c r="F41" s="6"/>
    </row>
    <row r="42" spans="2:11" ht="19.5" customHeight="1" x14ac:dyDescent="0.2">
      <c r="B42" s="6"/>
      <c r="C42" s="6"/>
      <c r="D42" s="6"/>
      <c r="E42" s="6"/>
      <c r="F42" s="6"/>
    </row>
    <row r="43" spans="2:11" ht="19.5" customHeight="1" x14ac:dyDescent="0.2">
      <c r="B43" s="6"/>
      <c r="C43" s="6"/>
      <c r="D43" s="6"/>
      <c r="E43" s="6"/>
      <c r="F43" s="6"/>
    </row>
    <row r="44" spans="2:11" ht="19.5" customHeight="1" x14ac:dyDescent="0.2">
      <c r="B44" s="6"/>
      <c r="C44" s="6"/>
      <c r="D44" s="6"/>
      <c r="E44" s="6"/>
      <c r="F44" s="6"/>
    </row>
    <row r="45" spans="2:11" ht="19.5" customHeight="1" x14ac:dyDescent="0.2">
      <c r="B45" s="6"/>
      <c r="C45" s="6"/>
      <c r="D45" s="6"/>
      <c r="E45" s="6"/>
      <c r="F45" s="6"/>
    </row>
    <row r="46" spans="2:11" ht="19.5" customHeight="1" x14ac:dyDescent="0.2">
      <c r="B46" s="6"/>
      <c r="C46" s="6"/>
      <c r="D46" s="6"/>
      <c r="E46" s="6"/>
      <c r="F46" s="6"/>
    </row>
    <row r="47" spans="2:11" ht="19.5" customHeight="1" x14ac:dyDescent="0.2"/>
    <row r="48" spans="2:11" ht="19.5" customHeight="1" x14ac:dyDescent="0.2">
      <c r="G48" s="568" t="s">
        <v>169</v>
      </c>
      <c r="H48" s="569"/>
      <c r="I48" s="569"/>
    </row>
  </sheetData>
  <sheetProtection algorithmName="SHA-512" hashValue="U76UMAgaBs5d/sGLyXWkrab5KeCJEVM0YL4Dy5F4xHT5fInZ36p+F50d6fNxh1xe1S3Qx4n3Yj5oQ7Lebitscg==" saltValue="okvwgXtLqPz3AWQaAcnI3Q==" spinCount="100000" sheet="1" formatCells="0" formatColumns="0" formatRows="0" insertColumns="0" insertRows="0" insertHyperlinks="0" deleteColumns="0" deleteRows="0" pivotTables="0"/>
  <mergeCells count="36">
    <mergeCell ref="B2:D2"/>
    <mergeCell ref="E2:I2"/>
    <mergeCell ref="B4:C4"/>
    <mergeCell ref="D4:E4"/>
    <mergeCell ref="G4:I4"/>
    <mergeCell ref="B5:C5"/>
    <mergeCell ref="D5:E5"/>
    <mergeCell ref="B9:I9"/>
    <mergeCell ref="B7:C7"/>
    <mergeCell ref="G5:I5"/>
    <mergeCell ref="B6:C6"/>
    <mergeCell ref="D6:E6"/>
    <mergeCell ref="D7:I7"/>
    <mergeCell ref="G48:I48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4:C24"/>
    <mergeCell ref="B21:C21"/>
    <mergeCell ref="B22:C22"/>
    <mergeCell ref="B23:C23"/>
    <mergeCell ref="B25:C25"/>
    <mergeCell ref="B26:C26"/>
    <mergeCell ref="I23:K23"/>
    <mergeCell ref="I25:K33"/>
    <mergeCell ref="B36:K36"/>
    <mergeCell ref="B28:C28"/>
    <mergeCell ref="B29:C29"/>
    <mergeCell ref="B30:C30"/>
    <mergeCell ref="B31:C31"/>
  </mergeCells>
  <conditionalFormatting sqref="D13:G27">
    <cfRule type="cellIs" dxfId="55" priority="1" operator="lessThan">
      <formula>0.7</formula>
    </cfRule>
    <cfRule type="cellIs" dxfId="54" priority="2" operator="between">
      <formula>0</formula>
      <formula>0.63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3DDC-518B-4DCF-8DF3-2E7EA555689F}">
  <sheetPr>
    <tabColor theme="9" tint="-0.499984740745262"/>
    <pageSetUpPr fitToPage="1"/>
  </sheetPr>
  <dimension ref="B2:J29"/>
  <sheetViews>
    <sheetView showGridLines="0" topLeftCell="A8" workbookViewId="0">
      <selection activeCell="G15" sqref="G15"/>
    </sheetView>
  </sheetViews>
  <sheetFormatPr defaultColWidth="12.5703125" defaultRowHeight="15.75" customHeight="1" x14ac:dyDescent="0.2"/>
  <cols>
    <col min="1" max="1" width="3.42578125" customWidth="1"/>
    <col min="2" max="2" width="21.8554687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0" ht="55.5" customHeight="1" x14ac:dyDescent="0.2">
      <c r="B2" s="683"/>
      <c r="C2" s="678"/>
      <c r="D2" s="679"/>
      <c r="E2" s="684" t="s">
        <v>207</v>
      </c>
      <c r="F2" s="678"/>
      <c r="G2" s="678"/>
      <c r="H2" s="678"/>
      <c r="I2" s="678"/>
      <c r="J2" s="679"/>
    </row>
    <row r="3" spans="2:10" ht="22.5" customHeight="1" x14ac:dyDescent="0.2">
      <c r="B3" s="304"/>
      <c r="C3" s="304"/>
      <c r="D3" s="304"/>
      <c r="E3" s="304"/>
      <c r="F3" s="304"/>
      <c r="G3" s="304"/>
      <c r="H3" s="304"/>
      <c r="I3" s="304"/>
      <c r="J3" s="303"/>
    </row>
    <row r="4" spans="2:10" ht="64.5" customHeight="1" x14ac:dyDescent="0.2">
      <c r="B4" s="547" t="s">
        <v>208</v>
      </c>
      <c r="C4" s="674"/>
      <c r="D4" s="677" t="e">
        <f>#REF!</f>
        <v>#REF!</v>
      </c>
      <c r="E4" s="679"/>
      <c r="F4" s="547" t="s">
        <v>209</v>
      </c>
      <c r="G4" s="674"/>
      <c r="H4" s="677" t="e">
        <f>#REF!</f>
        <v>#REF!</v>
      </c>
      <c r="I4" s="678"/>
      <c r="J4" s="679"/>
    </row>
    <row r="5" spans="2:10" ht="50.25" customHeight="1" x14ac:dyDescent="0.2">
      <c r="B5" s="547" t="s">
        <v>210</v>
      </c>
      <c r="C5" s="674"/>
      <c r="D5" s="550" t="e">
        <f>#REF!</f>
        <v>#REF!</v>
      </c>
      <c r="E5" s="679"/>
      <c r="F5" s="552" t="s">
        <v>211</v>
      </c>
      <c r="G5" s="674"/>
      <c r="H5" s="680" t="s">
        <v>212</v>
      </c>
      <c r="I5" s="681"/>
      <c r="J5" s="682"/>
    </row>
    <row r="6" spans="2:10" ht="22.5" customHeight="1" x14ac:dyDescent="0.2">
      <c r="B6" s="547" t="s">
        <v>213</v>
      </c>
      <c r="C6" s="674"/>
      <c r="D6" s="677" t="s">
        <v>214</v>
      </c>
      <c r="E6" s="679"/>
      <c r="F6" s="547" t="s">
        <v>215</v>
      </c>
      <c r="G6" s="673"/>
      <c r="H6" s="305" t="e">
        <f>#REF!</f>
        <v>#REF!</v>
      </c>
      <c r="I6" s="306"/>
      <c r="J6" s="307"/>
    </row>
    <row r="7" spans="2:10" ht="22.5" customHeight="1" x14ac:dyDescent="0.2">
      <c r="B7" s="547" t="s">
        <v>216</v>
      </c>
      <c r="C7" s="674"/>
      <c r="D7" s="677" t="e">
        <f>#REF!</f>
        <v>#REF!</v>
      </c>
      <c r="E7" s="678"/>
      <c r="F7" s="678"/>
      <c r="G7" s="678"/>
      <c r="H7" s="678"/>
      <c r="I7" s="678"/>
      <c r="J7" s="679"/>
    </row>
    <row r="8" spans="2:10" ht="7.5" customHeight="1" x14ac:dyDescent="0.2">
      <c r="B8" s="303"/>
      <c r="C8" s="303"/>
      <c r="D8" s="303"/>
      <c r="E8" s="303"/>
      <c r="F8" s="303"/>
      <c r="G8" s="303"/>
      <c r="H8" s="303"/>
      <c r="I8" s="303"/>
      <c r="J8" s="303"/>
    </row>
    <row r="9" spans="2:10" ht="22.5" customHeight="1" x14ac:dyDescent="0.2">
      <c r="B9" s="547" t="s">
        <v>217</v>
      </c>
      <c r="C9" s="673"/>
      <c r="D9" s="673"/>
      <c r="E9" s="673"/>
      <c r="F9" s="673"/>
      <c r="G9" s="673"/>
      <c r="H9" s="673"/>
      <c r="I9" s="673"/>
      <c r="J9" s="674"/>
    </row>
    <row r="10" spans="2:10" ht="7.5" customHeight="1" x14ac:dyDescent="0.2">
      <c r="B10" s="303"/>
      <c r="C10" s="303"/>
      <c r="D10" s="303"/>
      <c r="E10" s="303"/>
      <c r="F10" s="303"/>
      <c r="G10" s="303"/>
      <c r="H10" s="303"/>
      <c r="I10" s="303"/>
      <c r="J10" s="303"/>
    </row>
    <row r="11" spans="2:10" ht="22.5" customHeight="1" x14ac:dyDescent="0.2">
      <c r="B11" s="308"/>
      <c r="C11" s="308"/>
      <c r="D11" s="308"/>
      <c r="E11" s="308"/>
      <c r="F11" s="308"/>
      <c r="G11" s="308"/>
      <c r="H11" s="308"/>
      <c r="I11" s="308"/>
      <c r="J11" s="308"/>
    </row>
    <row r="12" spans="2:10" ht="22.5" customHeight="1" x14ac:dyDescent="0.2">
      <c r="B12" s="308"/>
      <c r="C12" s="308"/>
      <c r="D12" s="400" t="s">
        <v>218</v>
      </c>
      <c r="E12" s="400" t="s">
        <v>219</v>
      </c>
      <c r="F12" s="400" t="s">
        <v>220</v>
      </c>
      <c r="G12" s="400" t="s">
        <v>221</v>
      </c>
      <c r="H12" s="400" t="s">
        <v>222</v>
      </c>
      <c r="I12" s="401" t="s">
        <v>223</v>
      </c>
      <c r="J12" s="504" t="s">
        <v>281</v>
      </c>
    </row>
    <row r="13" spans="2:10" ht="23.25" customHeight="1" x14ac:dyDescent="0.2">
      <c r="B13" s="675" t="s">
        <v>224</v>
      </c>
      <c r="C13" s="676"/>
      <c r="D13" s="271" t="s">
        <v>231</v>
      </c>
      <c r="E13" s="271" t="s">
        <v>231</v>
      </c>
      <c r="F13" s="270">
        <v>1</v>
      </c>
      <c r="G13" s="270">
        <v>0</v>
      </c>
      <c r="H13" s="270">
        <v>3</v>
      </c>
      <c r="I13" s="270">
        <v>0</v>
      </c>
      <c r="J13" s="91">
        <v>3</v>
      </c>
    </row>
    <row r="14" spans="2:10" ht="23.25" customHeight="1" x14ac:dyDescent="0.2">
      <c r="B14" s="402" t="s">
        <v>282</v>
      </c>
      <c r="C14" s="380"/>
      <c r="D14" s="270">
        <v>15</v>
      </c>
      <c r="E14" s="270">
        <v>15</v>
      </c>
      <c r="F14" s="270">
        <v>15</v>
      </c>
      <c r="G14" s="270">
        <v>15</v>
      </c>
      <c r="H14" s="270">
        <v>15</v>
      </c>
      <c r="I14" s="270">
        <v>15</v>
      </c>
      <c r="J14" s="91">
        <v>15</v>
      </c>
    </row>
    <row r="15" spans="2:10" ht="23.25" customHeight="1" x14ac:dyDescent="0.2">
      <c r="B15" s="402" t="s">
        <v>283</v>
      </c>
      <c r="C15" s="380"/>
      <c r="D15" s="270" t="s">
        <v>231</v>
      </c>
      <c r="E15" s="270" t="s">
        <v>231</v>
      </c>
      <c r="F15" s="404">
        <f>F13/F14</f>
        <v>6.6666666666666666E-2</v>
      </c>
      <c r="G15" s="404">
        <f t="shared" ref="G15" si="0">(G13*10)/G14</f>
        <v>0</v>
      </c>
      <c r="H15" s="404">
        <f>(H13/H14)</f>
        <v>0.2</v>
      </c>
      <c r="I15" s="404">
        <f t="shared" ref="I15:J15" si="1">(I13/I14)</f>
        <v>0</v>
      </c>
      <c r="J15" s="404">
        <f t="shared" si="1"/>
        <v>0.2</v>
      </c>
    </row>
    <row r="16" spans="2:10" ht="13.5" x14ac:dyDescent="0.2">
      <c r="B16" s="387" t="s">
        <v>284</v>
      </c>
      <c r="C16" s="388">
        <v>0.25</v>
      </c>
      <c r="D16" s="388">
        <v>0.25</v>
      </c>
      <c r="E16" s="388">
        <v>0.25</v>
      </c>
      <c r="F16" s="388">
        <v>0.25</v>
      </c>
      <c r="G16" s="388">
        <v>0.25</v>
      </c>
      <c r="H16" s="388">
        <v>0.25</v>
      </c>
      <c r="I16" s="388">
        <v>0.25</v>
      </c>
      <c r="J16" s="388">
        <v>0.25</v>
      </c>
    </row>
    <row r="17" spans="2:10" ht="22.5" customHeight="1" x14ac:dyDescent="0.2">
      <c r="B17" s="403" t="s">
        <v>285</v>
      </c>
      <c r="C17" s="174"/>
      <c r="D17" s="174" t="s">
        <v>231</v>
      </c>
      <c r="E17" s="174" t="s">
        <v>231</v>
      </c>
      <c r="F17" s="404">
        <f>F15/F16</f>
        <v>0.26666666666666666</v>
      </c>
      <c r="G17" s="404">
        <f t="shared" ref="G17:J17" si="2">G15/G16</f>
        <v>0</v>
      </c>
      <c r="H17" s="404">
        <f t="shared" si="2"/>
        <v>0.8</v>
      </c>
      <c r="I17" s="404">
        <f t="shared" si="2"/>
        <v>0</v>
      </c>
      <c r="J17" s="404">
        <f t="shared" si="2"/>
        <v>0.8</v>
      </c>
    </row>
    <row r="18" spans="2:10" ht="7.5" customHeight="1" x14ac:dyDescent="0.2">
      <c r="B18" s="6"/>
      <c r="C18" s="6"/>
      <c r="D18" s="6"/>
      <c r="E18" s="6"/>
      <c r="F18" s="6"/>
      <c r="G18" s="7"/>
      <c r="H18" s="7"/>
      <c r="I18" s="7"/>
      <c r="J18" s="7"/>
    </row>
    <row r="19" spans="2:10" ht="22.5" customHeight="1" x14ac:dyDescent="0.2">
      <c r="B19" s="572" t="s">
        <v>227</v>
      </c>
      <c r="C19" s="573"/>
      <c r="D19" s="573"/>
      <c r="E19" s="574"/>
      <c r="F19" s="6"/>
      <c r="G19" s="672" t="s">
        <v>169</v>
      </c>
      <c r="H19" s="648"/>
      <c r="I19" s="648"/>
      <c r="J19" s="648"/>
    </row>
    <row r="20" spans="2:10" ht="22.5" customHeight="1" x14ac:dyDescent="0.2">
      <c r="B20" s="6"/>
      <c r="C20" s="6"/>
      <c r="D20" s="6"/>
      <c r="E20" s="6"/>
      <c r="F20" s="6"/>
      <c r="G20" s="648"/>
      <c r="H20" s="563"/>
      <c r="I20" s="563"/>
      <c r="J20" s="648"/>
    </row>
    <row r="21" spans="2:10" ht="22.5" customHeight="1" x14ac:dyDescent="0.2">
      <c r="B21" s="6"/>
      <c r="C21" s="6"/>
      <c r="D21" s="6"/>
      <c r="E21" s="6"/>
      <c r="F21" s="6"/>
      <c r="G21" s="648"/>
      <c r="H21" s="563"/>
      <c r="I21" s="563"/>
      <c r="J21" s="648"/>
    </row>
    <row r="22" spans="2:10" ht="22.5" customHeight="1" x14ac:dyDescent="0.2">
      <c r="B22" s="6"/>
      <c r="C22" s="6"/>
      <c r="D22" s="6"/>
      <c r="E22" s="6"/>
      <c r="F22" s="6"/>
      <c r="G22" s="648"/>
      <c r="H22" s="563"/>
      <c r="I22" s="563"/>
      <c r="J22" s="648"/>
    </row>
    <row r="23" spans="2:10" ht="22.5" customHeight="1" x14ac:dyDescent="0.2">
      <c r="B23" s="6"/>
      <c r="C23" s="6"/>
      <c r="D23" s="6"/>
      <c r="E23" s="6"/>
      <c r="F23" s="6"/>
      <c r="G23" s="648"/>
      <c r="H23" s="563"/>
      <c r="I23" s="563"/>
      <c r="J23" s="648"/>
    </row>
    <row r="24" spans="2:10" ht="22.5" customHeight="1" x14ac:dyDescent="0.2">
      <c r="B24" s="6"/>
      <c r="C24" s="6"/>
      <c r="D24" s="6"/>
      <c r="E24" s="6"/>
      <c r="F24" s="6"/>
      <c r="G24" s="648"/>
      <c r="H24" s="563"/>
      <c r="I24" s="563"/>
      <c r="J24" s="648"/>
    </row>
    <row r="25" spans="2:10" ht="22.5" customHeight="1" x14ac:dyDescent="0.2">
      <c r="B25" s="6"/>
      <c r="C25" s="6"/>
      <c r="D25" s="6"/>
      <c r="E25" s="6"/>
      <c r="F25" s="6"/>
      <c r="G25" s="648"/>
      <c r="H25" s="563"/>
      <c r="I25" s="563"/>
      <c r="J25" s="648"/>
    </row>
    <row r="26" spans="2:10" ht="22.5" customHeight="1" x14ac:dyDescent="0.2">
      <c r="B26" s="6"/>
      <c r="C26" s="6"/>
      <c r="D26" s="6"/>
      <c r="E26" s="6"/>
      <c r="F26" s="6"/>
      <c r="G26" s="648"/>
      <c r="H26" s="563"/>
      <c r="I26" s="563"/>
      <c r="J26" s="648"/>
    </row>
    <row r="27" spans="2:10" ht="22.5" customHeight="1" x14ac:dyDescent="0.2">
      <c r="B27" s="6"/>
      <c r="C27" s="6"/>
      <c r="D27" s="6"/>
      <c r="E27" s="6"/>
      <c r="F27" s="6"/>
      <c r="G27" s="648"/>
      <c r="H27" s="648"/>
      <c r="I27" s="648"/>
      <c r="J27" s="648"/>
    </row>
    <row r="28" spans="2:10" ht="6" customHeight="1" x14ac:dyDescent="0.2"/>
    <row r="29" spans="2:10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G19:J27"/>
    <mergeCell ref="H29:J29"/>
    <mergeCell ref="B9:J9"/>
    <mergeCell ref="B13:C13"/>
    <mergeCell ref="B19:E19"/>
  </mergeCells>
  <pageMargins left="0.7" right="0.7" top="0.75" bottom="0.75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29AC-E510-4747-98D6-501C92F81B33}">
  <sheetPr>
    <tabColor theme="9" tint="-0.499984740745262"/>
    <pageSetUpPr fitToPage="1"/>
  </sheetPr>
  <dimension ref="B2:J29"/>
  <sheetViews>
    <sheetView showGridLines="0" topLeftCell="A20" workbookViewId="0">
      <selection activeCell="H29" sqref="H29:J2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0" ht="55.5" customHeight="1" x14ac:dyDescent="0.2">
      <c r="B2" s="683"/>
      <c r="C2" s="678"/>
      <c r="D2" s="679"/>
      <c r="E2" s="684" t="s">
        <v>207</v>
      </c>
      <c r="F2" s="678"/>
      <c r="G2" s="678"/>
      <c r="H2" s="678"/>
      <c r="I2" s="678"/>
      <c r="J2" s="679"/>
    </row>
    <row r="3" spans="2:10" ht="22.5" customHeight="1" x14ac:dyDescent="0.2">
      <c r="B3" s="304"/>
      <c r="C3" s="304"/>
      <c r="D3" s="304"/>
      <c r="E3" s="304"/>
      <c r="F3" s="304"/>
      <c r="G3" s="304"/>
      <c r="H3" s="304"/>
      <c r="I3" s="304"/>
      <c r="J3" s="303"/>
    </row>
    <row r="4" spans="2:10" ht="64.5" customHeight="1" x14ac:dyDescent="0.2">
      <c r="B4" s="547" t="s">
        <v>208</v>
      </c>
      <c r="C4" s="674"/>
      <c r="D4" s="677" t="e">
        <f>#REF!</f>
        <v>#REF!</v>
      </c>
      <c r="E4" s="679"/>
      <c r="F4" s="547" t="s">
        <v>209</v>
      </c>
      <c r="G4" s="674"/>
      <c r="H4" s="677" t="e">
        <f>#REF!</f>
        <v>#REF!</v>
      </c>
      <c r="I4" s="678"/>
      <c r="J4" s="679"/>
    </row>
    <row r="5" spans="2:10" ht="50.25" customHeight="1" x14ac:dyDescent="0.2">
      <c r="B5" s="547" t="s">
        <v>210</v>
      </c>
      <c r="C5" s="674"/>
      <c r="D5" s="550" t="e">
        <f>#REF!</f>
        <v>#REF!</v>
      </c>
      <c r="E5" s="679"/>
      <c r="F5" s="552" t="s">
        <v>211</v>
      </c>
      <c r="G5" s="674"/>
      <c r="H5" s="680" t="s">
        <v>212</v>
      </c>
      <c r="I5" s="681"/>
      <c r="J5" s="682"/>
    </row>
    <row r="6" spans="2:10" ht="22.5" customHeight="1" x14ac:dyDescent="0.2">
      <c r="B6" s="547" t="s">
        <v>213</v>
      </c>
      <c r="C6" s="674"/>
      <c r="D6" s="677" t="s">
        <v>214</v>
      </c>
      <c r="E6" s="679"/>
      <c r="F6" s="547" t="s">
        <v>215</v>
      </c>
      <c r="G6" s="673"/>
      <c r="H6" s="305" t="e">
        <f>#REF!</f>
        <v>#REF!</v>
      </c>
      <c r="I6" s="306"/>
      <c r="J6" s="307"/>
    </row>
    <row r="7" spans="2:10" ht="22.5" customHeight="1" x14ac:dyDescent="0.2">
      <c r="B7" s="547" t="s">
        <v>216</v>
      </c>
      <c r="C7" s="674"/>
      <c r="D7" s="677" t="e">
        <f>#REF!</f>
        <v>#REF!</v>
      </c>
      <c r="E7" s="678"/>
      <c r="F7" s="678"/>
      <c r="G7" s="678"/>
      <c r="H7" s="678"/>
      <c r="I7" s="678"/>
      <c r="J7" s="679"/>
    </row>
    <row r="8" spans="2:10" ht="7.5" customHeight="1" x14ac:dyDescent="0.2">
      <c r="B8" s="303"/>
      <c r="C8" s="303"/>
      <c r="D8" s="303"/>
      <c r="E8" s="303"/>
      <c r="F8" s="303"/>
      <c r="G8" s="303"/>
      <c r="H8" s="303"/>
      <c r="I8" s="303"/>
      <c r="J8" s="303"/>
    </row>
    <row r="9" spans="2:10" ht="22.5" customHeight="1" x14ac:dyDescent="0.2">
      <c r="B9" s="547" t="s">
        <v>217</v>
      </c>
      <c r="C9" s="673"/>
      <c r="D9" s="673"/>
      <c r="E9" s="673"/>
      <c r="F9" s="673"/>
      <c r="G9" s="673"/>
      <c r="H9" s="673"/>
      <c r="I9" s="673"/>
      <c r="J9" s="674"/>
    </row>
    <row r="10" spans="2:10" ht="7.5" customHeight="1" x14ac:dyDescent="0.2">
      <c r="B10" s="303"/>
      <c r="C10" s="303"/>
      <c r="D10" s="303"/>
      <c r="E10" s="303"/>
      <c r="F10" s="303"/>
      <c r="G10" s="303"/>
      <c r="H10" s="303"/>
      <c r="I10" s="303"/>
      <c r="J10" s="303"/>
    </row>
    <row r="11" spans="2:10" ht="22.5" customHeight="1" x14ac:dyDescent="0.2">
      <c r="B11" s="308"/>
      <c r="C11" s="308"/>
      <c r="D11" s="308"/>
      <c r="E11" s="308"/>
      <c r="F11" s="308"/>
      <c r="G11" s="308"/>
      <c r="H11" s="308"/>
      <c r="I11" s="308"/>
      <c r="J11" s="308"/>
    </row>
    <row r="12" spans="2:10" ht="22.5" customHeight="1" x14ac:dyDescent="0.2">
      <c r="B12" s="308"/>
      <c r="C12" s="308"/>
      <c r="D12" s="400" t="s">
        <v>218</v>
      </c>
      <c r="E12" s="400" t="s">
        <v>219</v>
      </c>
      <c r="F12" s="400" t="s">
        <v>220</v>
      </c>
      <c r="G12" s="400" t="s">
        <v>221</v>
      </c>
      <c r="H12" s="401" t="s">
        <v>222</v>
      </c>
      <c r="I12" s="410" t="s">
        <v>223</v>
      </c>
      <c r="J12" s="303"/>
    </row>
    <row r="13" spans="2:10" ht="23.25" customHeight="1" x14ac:dyDescent="0.2">
      <c r="B13" s="675" t="s">
        <v>224</v>
      </c>
      <c r="C13" s="676"/>
      <c r="D13" s="271" t="s">
        <v>231</v>
      </c>
      <c r="E13" s="271" t="s">
        <v>231</v>
      </c>
      <c r="F13" s="270" t="s">
        <v>232</v>
      </c>
      <c r="G13" s="270">
        <v>0</v>
      </c>
      <c r="H13" s="405">
        <v>0</v>
      </c>
      <c r="I13" s="270">
        <v>3</v>
      </c>
      <c r="J13" s="303"/>
    </row>
    <row r="14" spans="2:10" ht="23.25" customHeight="1" x14ac:dyDescent="0.2">
      <c r="B14" s="402" t="s">
        <v>282</v>
      </c>
      <c r="C14" s="380"/>
      <c r="D14" s="270">
        <v>15</v>
      </c>
      <c r="E14" s="270">
        <v>15</v>
      </c>
      <c r="F14" s="270">
        <v>15</v>
      </c>
      <c r="G14" s="270">
        <v>15</v>
      </c>
      <c r="H14" s="405">
        <v>15</v>
      </c>
      <c r="I14" s="270">
        <v>15</v>
      </c>
      <c r="J14" s="303"/>
    </row>
    <row r="15" spans="2:10" ht="23.25" customHeight="1" x14ac:dyDescent="0.2">
      <c r="B15" s="402" t="s">
        <v>283</v>
      </c>
      <c r="C15" s="380"/>
      <c r="D15" s="270" t="s">
        <v>231</v>
      </c>
      <c r="E15" s="270" t="s">
        <v>231</v>
      </c>
      <c r="F15" s="404" t="s">
        <v>232</v>
      </c>
      <c r="G15" s="404">
        <f t="shared" ref="G15" si="0">(G13*10)/G14</f>
        <v>0</v>
      </c>
      <c r="H15" s="406">
        <f>(H13/H14)</f>
        <v>0</v>
      </c>
      <c r="I15" s="404">
        <f t="shared" ref="I15" si="1">(I13/I14)</f>
        <v>0.2</v>
      </c>
      <c r="J15" s="407"/>
    </row>
    <row r="16" spans="2:10" ht="13.5" x14ac:dyDescent="0.2">
      <c r="B16" s="387" t="s">
        <v>286</v>
      </c>
      <c r="C16" s="388">
        <v>0.25</v>
      </c>
      <c r="D16" s="388">
        <v>0.25</v>
      </c>
      <c r="E16" s="388">
        <v>0.25</v>
      </c>
      <c r="F16" s="388">
        <v>0.25</v>
      </c>
      <c r="G16" s="388">
        <v>0.25</v>
      </c>
      <c r="H16" s="388">
        <v>0.25</v>
      </c>
      <c r="I16" s="388">
        <v>0.25</v>
      </c>
      <c r="J16" s="408"/>
    </row>
    <row r="17" spans="2:10" ht="22.5" customHeight="1" x14ac:dyDescent="0.2">
      <c r="B17" s="403" t="s">
        <v>234</v>
      </c>
      <c r="C17" s="174"/>
      <c r="D17" s="174" t="s">
        <v>231</v>
      </c>
      <c r="E17" s="174" t="s">
        <v>231</v>
      </c>
      <c r="F17" s="404" t="s">
        <v>232</v>
      </c>
      <c r="G17" s="404">
        <v>1</v>
      </c>
      <c r="H17" s="406">
        <v>1</v>
      </c>
      <c r="I17" s="404">
        <v>1</v>
      </c>
      <c r="J17" s="409"/>
    </row>
    <row r="18" spans="2:10" ht="7.5" customHeight="1" x14ac:dyDescent="0.2">
      <c r="B18" s="6"/>
      <c r="C18" s="6"/>
      <c r="D18" s="6"/>
      <c r="E18" s="6"/>
      <c r="F18" s="6"/>
      <c r="G18" s="7"/>
      <c r="H18" s="7"/>
      <c r="I18" s="7"/>
      <c r="J18" s="7"/>
    </row>
    <row r="19" spans="2:10" ht="22.5" customHeight="1" x14ac:dyDescent="0.2">
      <c r="B19" s="572" t="s">
        <v>227</v>
      </c>
      <c r="C19" s="573"/>
      <c r="D19" s="573"/>
      <c r="E19" s="574"/>
      <c r="F19" s="6"/>
      <c r="G19" s="672" t="s">
        <v>169</v>
      </c>
      <c r="H19" s="648"/>
      <c r="I19" s="648"/>
      <c r="J19" s="648"/>
    </row>
    <row r="20" spans="2:10" ht="22.5" customHeight="1" x14ac:dyDescent="0.2">
      <c r="B20" s="6"/>
      <c r="C20" s="6"/>
      <c r="D20" s="6"/>
      <c r="E20" s="6"/>
      <c r="F20" s="6"/>
      <c r="G20" s="648"/>
      <c r="H20" s="563"/>
      <c r="I20" s="563"/>
      <c r="J20" s="648"/>
    </row>
    <row r="21" spans="2:10" ht="22.5" customHeight="1" x14ac:dyDescent="0.2">
      <c r="B21" s="6"/>
      <c r="C21" s="6"/>
      <c r="D21" s="6"/>
      <c r="E21" s="6"/>
      <c r="F21" s="6"/>
      <c r="G21" s="648"/>
      <c r="H21" s="563"/>
      <c r="I21" s="563"/>
      <c r="J21" s="648"/>
    </row>
    <row r="22" spans="2:10" ht="22.5" customHeight="1" x14ac:dyDescent="0.2">
      <c r="B22" s="6"/>
      <c r="C22" s="6"/>
      <c r="D22" s="6"/>
      <c r="E22" s="6"/>
      <c r="F22" s="6"/>
      <c r="G22" s="648"/>
      <c r="H22" s="563"/>
      <c r="I22" s="563"/>
      <c r="J22" s="648"/>
    </row>
    <row r="23" spans="2:10" ht="22.5" customHeight="1" x14ac:dyDescent="0.2">
      <c r="B23" s="6"/>
      <c r="C23" s="6"/>
      <c r="D23" s="6"/>
      <c r="E23" s="6"/>
      <c r="F23" s="6"/>
      <c r="G23" s="648"/>
      <c r="H23" s="563"/>
      <c r="I23" s="563"/>
      <c r="J23" s="648"/>
    </row>
    <row r="24" spans="2:10" ht="22.5" customHeight="1" x14ac:dyDescent="0.2">
      <c r="B24" s="6"/>
      <c r="C24" s="6"/>
      <c r="D24" s="6"/>
      <c r="E24" s="6"/>
      <c r="F24" s="6"/>
      <c r="G24" s="648"/>
      <c r="H24" s="563"/>
      <c r="I24" s="563"/>
      <c r="J24" s="648"/>
    </row>
    <row r="25" spans="2:10" ht="22.5" customHeight="1" x14ac:dyDescent="0.2">
      <c r="B25" s="6"/>
      <c r="C25" s="6"/>
      <c r="D25" s="6"/>
      <c r="E25" s="6"/>
      <c r="F25" s="6"/>
      <c r="G25" s="648"/>
      <c r="H25" s="563"/>
      <c r="I25" s="563"/>
      <c r="J25" s="648"/>
    </row>
    <row r="26" spans="2:10" ht="22.5" customHeight="1" x14ac:dyDescent="0.2">
      <c r="B26" s="6"/>
      <c r="C26" s="6"/>
      <c r="D26" s="6"/>
      <c r="E26" s="6"/>
      <c r="F26" s="6"/>
      <c r="G26" s="648"/>
      <c r="H26" s="563"/>
      <c r="I26" s="563"/>
      <c r="J26" s="648"/>
    </row>
    <row r="27" spans="2:10" ht="22.5" customHeight="1" x14ac:dyDescent="0.2">
      <c r="B27" s="6"/>
      <c r="C27" s="6"/>
      <c r="D27" s="6"/>
      <c r="E27" s="6"/>
      <c r="F27" s="6"/>
      <c r="G27" s="648"/>
      <c r="H27" s="648"/>
      <c r="I27" s="648"/>
      <c r="J27" s="648"/>
    </row>
    <row r="28" spans="2:10" ht="6" customHeight="1" x14ac:dyDescent="0.2"/>
    <row r="29" spans="2:10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29:J29"/>
    <mergeCell ref="B7:C7"/>
    <mergeCell ref="D7:J7"/>
    <mergeCell ref="B9:J9"/>
    <mergeCell ref="B13:C13"/>
    <mergeCell ref="B19:E19"/>
    <mergeCell ref="G19:J27"/>
  </mergeCells>
  <pageMargins left="0.7" right="0.7" top="0.75" bottom="0.75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37AF-928A-4F19-BCED-3441CC914C45}">
  <sheetPr>
    <tabColor theme="9" tint="-0.499984740745262"/>
    <pageSetUpPr fitToPage="1"/>
  </sheetPr>
  <dimension ref="B2:J29"/>
  <sheetViews>
    <sheetView showGridLines="0" topLeftCell="A11" workbookViewId="0">
      <selection activeCell="G19" sqref="G19:J2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0" ht="55.5" customHeight="1" x14ac:dyDescent="0.2">
      <c r="B2" s="683"/>
      <c r="C2" s="678"/>
      <c r="D2" s="679"/>
      <c r="E2" s="684" t="s">
        <v>207</v>
      </c>
      <c r="F2" s="678"/>
      <c r="G2" s="678"/>
      <c r="H2" s="678"/>
      <c r="I2" s="678"/>
      <c r="J2" s="679"/>
    </row>
    <row r="3" spans="2:10" ht="22.5" customHeight="1" x14ac:dyDescent="0.2">
      <c r="B3" s="304"/>
      <c r="C3" s="304"/>
      <c r="D3" s="304"/>
      <c r="E3" s="304"/>
      <c r="F3" s="304"/>
      <c r="G3" s="304"/>
      <c r="H3" s="304"/>
      <c r="I3" s="304"/>
      <c r="J3" s="303"/>
    </row>
    <row r="4" spans="2:10" ht="64.5" customHeight="1" x14ac:dyDescent="0.2">
      <c r="B4" s="547" t="s">
        <v>208</v>
      </c>
      <c r="C4" s="674"/>
      <c r="D4" s="677" t="e">
        <f>#REF!</f>
        <v>#REF!</v>
      </c>
      <c r="E4" s="679"/>
      <c r="F4" s="547" t="s">
        <v>209</v>
      </c>
      <c r="G4" s="674"/>
      <c r="H4" s="677" t="e">
        <f>#REF!</f>
        <v>#REF!</v>
      </c>
      <c r="I4" s="678"/>
      <c r="J4" s="679"/>
    </row>
    <row r="5" spans="2:10" ht="50.25" customHeight="1" x14ac:dyDescent="0.2">
      <c r="B5" s="547" t="s">
        <v>210</v>
      </c>
      <c r="C5" s="674"/>
      <c r="D5" s="550" t="e">
        <f>#REF!</f>
        <v>#REF!</v>
      </c>
      <c r="E5" s="679"/>
      <c r="F5" s="552" t="s">
        <v>211</v>
      </c>
      <c r="G5" s="674"/>
      <c r="H5" s="680" t="s">
        <v>212</v>
      </c>
      <c r="I5" s="681"/>
      <c r="J5" s="682"/>
    </row>
    <row r="6" spans="2:10" ht="22.5" customHeight="1" x14ac:dyDescent="0.2">
      <c r="B6" s="547" t="s">
        <v>213</v>
      </c>
      <c r="C6" s="674"/>
      <c r="D6" s="677" t="s">
        <v>214</v>
      </c>
      <c r="E6" s="679"/>
      <c r="F6" s="547" t="s">
        <v>215</v>
      </c>
      <c r="G6" s="673"/>
      <c r="H6" s="305" t="e">
        <f>#REF!</f>
        <v>#REF!</v>
      </c>
      <c r="I6" s="306"/>
      <c r="J6" s="307"/>
    </row>
    <row r="7" spans="2:10" ht="22.5" customHeight="1" x14ac:dyDescent="0.2">
      <c r="B7" s="547" t="s">
        <v>216</v>
      </c>
      <c r="C7" s="674"/>
      <c r="D7" s="677" t="e">
        <f>#REF!</f>
        <v>#REF!</v>
      </c>
      <c r="E7" s="678"/>
      <c r="F7" s="678"/>
      <c r="G7" s="678"/>
      <c r="H7" s="678"/>
      <c r="I7" s="678"/>
      <c r="J7" s="679"/>
    </row>
    <row r="8" spans="2:10" ht="7.5" customHeight="1" x14ac:dyDescent="0.2">
      <c r="B8" s="303"/>
      <c r="C8" s="303"/>
      <c r="D8" s="303"/>
      <c r="E8" s="303"/>
      <c r="F8" s="303"/>
      <c r="G8" s="303"/>
      <c r="H8" s="303"/>
      <c r="I8" s="303"/>
      <c r="J8" s="303"/>
    </row>
    <row r="9" spans="2:10" ht="22.5" customHeight="1" x14ac:dyDescent="0.2">
      <c r="B9" s="547" t="s">
        <v>217</v>
      </c>
      <c r="C9" s="673"/>
      <c r="D9" s="673"/>
      <c r="E9" s="673"/>
      <c r="F9" s="673"/>
      <c r="G9" s="673"/>
      <c r="H9" s="673"/>
      <c r="I9" s="673"/>
      <c r="J9" s="674"/>
    </row>
    <row r="10" spans="2:10" ht="7.5" customHeight="1" x14ac:dyDescent="0.2">
      <c r="B10" s="303"/>
      <c r="C10" s="303"/>
      <c r="D10" s="303"/>
      <c r="E10" s="303"/>
      <c r="F10" s="303"/>
      <c r="G10" s="303"/>
      <c r="H10" s="303"/>
      <c r="I10" s="303"/>
      <c r="J10" s="303"/>
    </row>
    <row r="11" spans="2:10" ht="22.5" customHeight="1" x14ac:dyDescent="0.2">
      <c r="B11" s="308"/>
      <c r="C11" s="308"/>
      <c r="D11" s="308"/>
      <c r="E11" s="308"/>
      <c r="F11" s="308"/>
      <c r="G11" s="308"/>
      <c r="H11" s="308"/>
      <c r="I11" s="308"/>
      <c r="J11" s="308"/>
    </row>
    <row r="12" spans="2:10" ht="22.5" customHeight="1" x14ac:dyDescent="0.2">
      <c r="B12" s="308"/>
      <c r="C12" s="308"/>
      <c r="D12" s="400" t="s">
        <v>218</v>
      </c>
      <c r="E12" s="400" t="s">
        <v>219</v>
      </c>
      <c r="F12" s="400" t="s">
        <v>220</v>
      </c>
      <c r="G12" s="400" t="s">
        <v>221</v>
      </c>
      <c r="H12" s="401" t="s">
        <v>222</v>
      </c>
      <c r="I12" s="410" t="s">
        <v>223</v>
      </c>
      <c r="J12" s="303"/>
    </row>
    <row r="13" spans="2:10" ht="23.25" customHeight="1" x14ac:dyDescent="0.2">
      <c r="B13" s="675" t="s">
        <v>224</v>
      </c>
      <c r="C13" s="676"/>
      <c r="D13" s="271" t="s">
        <v>231</v>
      </c>
      <c r="E13" s="271" t="s">
        <v>231</v>
      </c>
      <c r="F13" s="270" t="s">
        <v>232</v>
      </c>
      <c r="G13" s="270">
        <v>0</v>
      </c>
      <c r="H13" s="405">
        <v>0</v>
      </c>
      <c r="I13" s="270">
        <v>1</v>
      </c>
      <c r="J13" s="303"/>
    </row>
    <row r="14" spans="2:10" ht="23.25" customHeight="1" x14ac:dyDescent="0.2">
      <c r="B14" s="402" t="s">
        <v>282</v>
      </c>
      <c r="C14" s="380"/>
      <c r="D14" s="270">
        <v>15</v>
      </c>
      <c r="E14" s="270">
        <v>15</v>
      </c>
      <c r="F14" s="270">
        <v>15</v>
      </c>
      <c r="G14" s="270">
        <v>15</v>
      </c>
      <c r="H14" s="405">
        <v>15</v>
      </c>
      <c r="I14" s="270">
        <v>15</v>
      </c>
      <c r="J14" s="303"/>
    </row>
    <row r="15" spans="2:10" ht="23.25" customHeight="1" x14ac:dyDescent="0.2">
      <c r="B15" s="402" t="s">
        <v>283</v>
      </c>
      <c r="C15" s="380"/>
      <c r="D15" s="270" t="s">
        <v>231</v>
      </c>
      <c r="E15" s="270" t="s">
        <v>231</v>
      </c>
      <c r="F15" s="404" t="s">
        <v>232</v>
      </c>
      <c r="G15" s="404">
        <f t="shared" ref="G15" si="0">(G13*10)/G14</f>
        <v>0</v>
      </c>
      <c r="H15" s="406">
        <f>(H13/H14)</f>
        <v>0</v>
      </c>
      <c r="I15" s="404">
        <f t="shared" ref="I15" si="1">(I13/I14)</f>
        <v>6.6666666666666666E-2</v>
      </c>
      <c r="J15" s="407"/>
    </row>
    <row r="16" spans="2:10" ht="13.5" x14ac:dyDescent="0.2">
      <c r="B16" s="387" t="s">
        <v>4</v>
      </c>
      <c r="C16" s="388">
        <v>0.1</v>
      </c>
      <c r="D16" s="388">
        <v>0.1</v>
      </c>
      <c r="E16" s="388">
        <v>0.1</v>
      </c>
      <c r="F16" s="388">
        <v>0.1</v>
      </c>
      <c r="G16" s="388">
        <v>0.1</v>
      </c>
      <c r="H16" s="388">
        <v>0.1</v>
      </c>
      <c r="I16" s="388">
        <v>0.1</v>
      </c>
      <c r="J16" s="408"/>
    </row>
    <row r="17" spans="2:10" ht="22.5" customHeight="1" x14ac:dyDescent="0.2">
      <c r="B17" s="491" t="s">
        <v>234</v>
      </c>
      <c r="C17" s="174"/>
      <c r="D17" s="174" t="s">
        <v>231</v>
      </c>
      <c r="E17" s="174" t="s">
        <v>231</v>
      </c>
      <c r="F17" s="404" t="s">
        <v>232</v>
      </c>
      <c r="G17" s="404">
        <v>1</v>
      </c>
      <c r="H17" s="406">
        <v>1</v>
      </c>
      <c r="I17" s="404">
        <v>1</v>
      </c>
      <c r="J17" s="409"/>
    </row>
    <row r="18" spans="2:10" ht="7.5" customHeight="1" x14ac:dyDescent="0.2">
      <c r="B18" s="6"/>
      <c r="C18" s="6"/>
      <c r="D18" s="6"/>
      <c r="E18" s="6"/>
      <c r="F18" s="6"/>
      <c r="G18" s="7"/>
      <c r="H18" s="7"/>
      <c r="I18" s="7"/>
      <c r="J18" s="7"/>
    </row>
    <row r="19" spans="2:10" ht="22.5" customHeight="1" x14ac:dyDescent="0.2">
      <c r="B19" s="572" t="s">
        <v>227</v>
      </c>
      <c r="C19" s="573"/>
      <c r="D19" s="573"/>
      <c r="E19" s="574"/>
      <c r="F19" s="6"/>
      <c r="G19" s="672" t="s">
        <v>169</v>
      </c>
      <c r="H19" s="648"/>
      <c r="I19" s="648"/>
      <c r="J19" s="648"/>
    </row>
    <row r="20" spans="2:10" ht="22.5" customHeight="1" x14ac:dyDescent="0.2">
      <c r="B20" s="6"/>
      <c r="C20" s="6"/>
      <c r="D20" s="6"/>
      <c r="E20" s="6"/>
      <c r="F20" s="6"/>
      <c r="G20" s="648"/>
      <c r="H20" s="563"/>
      <c r="I20" s="563"/>
      <c r="J20" s="648"/>
    </row>
    <row r="21" spans="2:10" ht="22.5" customHeight="1" x14ac:dyDescent="0.2">
      <c r="B21" s="6"/>
      <c r="C21" s="6"/>
      <c r="D21" s="6"/>
      <c r="E21" s="6"/>
      <c r="F21" s="6"/>
      <c r="G21" s="648"/>
      <c r="H21" s="563"/>
      <c r="I21" s="563"/>
      <c r="J21" s="648"/>
    </row>
    <row r="22" spans="2:10" ht="22.5" customHeight="1" x14ac:dyDescent="0.2">
      <c r="B22" s="6"/>
      <c r="C22" s="6"/>
      <c r="D22" s="6"/>
      <c r="E22" s="6"/>
      <c r="F22" s="6"/>
      <c r="G22" s="648"/>
      <c r="H22" s="563"/>
      <c r="I22" s="563"/>
      <c r="J22" s="648"/>
    </row>
    <row r="23" spans="2:10" ht="22.5" customHeight="1" x14ac:dyDescent="0.2">
      <c r="B23" s="6"/>
      <c r="C23" s="6"/>
      <c r="D23" s="6"/>
      <c r="E23" s="6"/>
      <c r="F23" s="6"/>
      <c r="G23" s="648"/>
      <c r="H23" s="563"/>
      <c r="I23" s="563"/>
      <c r="J23" s="648"/>
    </row>
    <row r="24" spans="2:10" ht="22.5" customHeight="1" x14ac:dyDescent="0.2">
      <c r="B24" s="6"/>
      <c r="C24" s="6"/>
      <c r="D24" s="6"/>
      <c r="E24" s="6"/>
      <c r="F24" s="6"/>
      <c r="G24" s="648"/>
      <c r="H24" s="563"/>
      <c r="I24" s="563"/>
      <c r="J24" s="648"/>
    </row>
    <row r="25" spans="2:10" ht="22.5" customHeight="1" x14ac:dyDescent="0.2">
      <c r="B25" s="6"/>
      <c r="C25" s="6"/>
      <c r="D25" s="6"/>
      <c r="E25" s="6"/>
      <c r="F25" s="6"/>
      <c r="G25" s="648"/>
      <c r="H25" s="563"/>
      <c r="I25" s="563"/>
      <c r="J25" s="648"/>
    </row>
    <row r="26" spans="2:10" ht="22.5" customHeight="1" x14ac:dyDescent="0.2">
      <c r="B26" s="6"/>
      <c r="C26" s="6"/>
      <c r="D26" s="6"/>
      <c r="E26" s="6"/>
      <c r="F26" s="6"/>
      <c r="G26" s="648"/>
      <c r="H26" s="563"/>
      <c r="I26" s="563"/>
      <c r="J26" s="648"/>
    </row>
    <row r="27" spans="2:10" ht="22.5" customHeight="1" x14ac:dyDescent="0.2">
      <c r="B27" s="6"/>
      <c r="C27" s="6"/>
      <c r="D27" s="6"/>
      <c r="E27" s="6"/>
      <c r="F27" s="6"/>
      <c r="G27" s="648"/>
      <c r="H27" s="648"/>
      <c r="I27" s="648"/>
      <c r="J27" s="648"/>
    </row>
    <row r="28" spans="2:10" ht="6" customHeight="1" x14ac:dyDescent="0.2"/>
    <row r="29" spans="2:10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29:J29"/>
    <mergeCell ref="B7:C7"/>
    <mergeCell ref="D7:J7"/>
    <mergeCell ref="B9:J9"/>
    <mergeCell ref="B13:C13"/>
    <mergeCell ref="B19:E19"/>
    <mergeCell ref="G19:J27"/>
  </mergeCells>
  <pageMargins left="0.7" right="0.7" top="0.75" bottom="0.75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E2BF-9543-4326-BFE4-5AA5AC363D27}">
  <sheetPr>
    <tabColor theme="9" tint="-0.499984740745262"/>
    <pageSetUpPr fitToPage="1"/>
  </sheetPr>
  <dimension ref="B2:J45"/>
  <sheetViews>
    <sheetView showGridLines="0" topLeftCell="A27" workbookViewId="0">
      <selection activeCell="I34" sqref="I3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68" t="e">
        <f>#REF!</f>
        <v>#REF!</v>
      </c>
      <c r="I4" s="611"/>
      <c r="J4" s="612"/>
    </row>
    <row r="5" spans="2:10" ht="22.5" customHeight="1" x14ac:dyDescent="0.2">
      <c r="B5" s="572" t="s">
        <v>210</v>
      </c>
      <c r="C5" s="574"/>
      <c r="D5" s="685" t="e">
        <f>#REF!</f>
        <v>#REF!</v>
      </c>
      <c r="E5" s="686"/>
      <c r="F5" s="687" t="s">
        <v>211</v>
      </c>
      <c r="G5" s="573"/>
      <c r="H5" s="688" t="s">
        <v>235</v>
      </c>
      <c r="I5" s="689"/>
      <c r="J5" s="689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3"/>
      <c r="H6" s="10" t="e">
        <f>#REF!</f>
        <v>#REF!</v>
      </c>
      <c r="I6" s="15"/>
      <c r="J6" s="15"/>
    </row>
    <row r="7" spans="2:10" ht="22.5" customHeight="1" x14ac:dyDescent="0.2">
      <c r="B7" s="572" t="s">
        <v>216</v>
      </c>
      <c r="C7" s="574"/>
      <c r="D7" s="690" t="e">
        <f>#REF!</f>
        <v>#REF!</v>
      </c>
      <c r="E7" s="691"/>
      <c r="F7" s="691"/>
      <c r="G7" s="691"/>
      <c r="H7" s="692"/>
      <c r="I7" s="692"/>
      <c r="J7" s="693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98" t="s">
        <v>218</v>
      </c>
      <c r="E12" s="98" t="s">
        <v>219</v>
      </c>
      <c r="F12" s="98" t="s">
        <v>220</v>
      </c>
      <c r="G12" s="98" t="s">
        <v>221</v>
      </c>
      <c r="H12" s="98" t="s">
        <v>222</v>
      </c>
      <c r="I12" s="98" t="s">
        <v>223</v>
      </c>
    </row>
    <row r="13" spans="2:10" ht="41.25" customHeight="1" x14ac:dyDescent="0.2">
      <c r="B13" s="667" t="s">
        <v>238</v>
      </c>
      <c r="C13" s="667"/>
      <c r="D13" s="62">
        <v>1.06</v>
      </c>
      <c r="E13" s="62">
        <v>1.06</v>
      </c>
      <c r="F13" s="62">
        <v>1.0900000000000001</v>
      </c>
      <c r="G13" s="62">
        <v>1.04</v>
      </c>
      <c r="H13" s="62">
        <v>1</v>
      </c>
      <c r="I13" s="62">
        <v>1</v>
      </c>
    </row>
    <row r="14" spans="2:10" ht="41.25" customHeight="1" x14ac:dyDescent="0.2">
      <c r="B14" s="667" t="s">
        <v>287</v>
      </c>
      <c r="C14" s="667"/>
      <c r="D14" s="62">
        <v>1.04</v>
      </c>
      <c r="E14" s="62">
        <v>0.98</v>
      </c>
      <c r="F14" s="62">
        <v>1.1399999999999999</v>
      </c>
      <c r="G14" s="62">
        <v>0.97</v>
      </c>
      <c r="H14" s="62">
        <v>1</v>
      </c>
      <c r="I14" s="62">
        <v>0.9</v>
      </c>
    </row>
    <row r="15" spans="2:10" ht="41.25" customHeight="1" x14ac:dyDescent="0.2">
      <c r="B15" s="667" t="s">
        <v>241</v>
      </c>
      <c r="C15" s="667"/>
      <c r="D15" s="62">
        <v>1</v>
      </c>
      <c r="E15" s="62">
        <v>1</v>
      </c>
      <c r="F15" s="62">
        <v>1</v>
      </c>
      <c r="G15" s="62">
        <v>1</v>
      </c>
      <c r="H15" s="62">
        <v>1</v>
      </c>
      <c r="I15" s="62">
        <v>1.02</v>
      </c>
    </row>
    <row r="16" spans="2:10" ht="41.25" customHeight="1" x14ac:dyDescent="0.2">
      <c r="B16" s="667" t="s">
        <v>244</v>
      </c>
      <c r="C16" s="667"/>
      <c r="D16" s="62">
        <v>1.02</v>
      </c>
      <c r="E16" s="62">
        <v>1</v>
      </c>
      <c r="F16" s="62">
        <v>0.86</v>
      </c>
      <c r="G16" s="62">
        <v>0.91</v>
      </c>
      <c r="H16" s="62">
        <v>1</v>
      </c>
      <c r="I16" s="62">
        <v>0.67</v>
      </c>
    </row>
    <row r="17" spans="2:9" ht="41.25" customHeight="1" x14ac:dyDescent="0.2">
      <c r="B17" s="667" t="s">
        <v>246</v>
      </c>
      <c r="C17" s="667"/>
      <c r="D17" s="62">
        <v>0.95</v>
      </c>
      <c r="E17" s="62">
        <v>0.98</v>
      </c>
      <c r="F17" s="62">
        <v>0.84</v>
      </c>
      <c r="G17" s="62">
        <v>0.9</v>
      </c>
      <c r="H17" s="62">
        <v>1</v>
      </c>
      <c r="I17" s="62">
        <v>0.88</v>
      </c>
    </row>
    <row r="18" spans="2:9" ht="43.5" customHeight="1" x14ac:dyDescent="0.2">
      <c r="B18" s="667" t="s">
        <v>288</v>
      </c>
      <c r="C18" s="667"/>
      <c r="D18" s="62">
        <v>1</v>
      </c>
      <c r="E18" s="62">
        <v>0.89</v>
      </c>
      <c r="F18" s="62">
        <v>0.93</v>
      </c>
      <c r="G18" s="62">
        <v>0.98</v>
      </c>
      <c r="H18" s="62">
        <v>0.93</v>
      </c>
      <c r="I18" s="62">
        <v>0.93</v>
      </c>
    </row>
    <row r="19" spans="2:9" ht="29.25" customHeight="1" x14ac:dyDescent="0.2">
      <c r="B19" s="667" t="s">
        <v>248</v>
      </c>
      <c r="C19" s="667"/>
      <c r="D19" s="62">
        <v>1.02</v>
      </c>
      <c r="E19" s="62">
        <v>0.83</v>
      </c>
      <c r="F19" s="62">
        <v>1.07</v>
      </c>
      <c r="G19" s="62">
        <v>1</v>
      </c>
      <c r="H19" s="62">
        <v>1</v>
      </c>
      <c r="I19" s="62">
        <v>0.98</v>
      </c>
    </row>
    <row r="20" spans="2:9" ht="37.5" customHeight="1" x14ac:dyDescent="0.2">
      <c r="B20" s="667" t="s">
        <v>289</v>
      </c>
      <c r="C20" s="667"/>
      <c r="D20" s="42" t="s">
        <v>290</v>
      </c>
      <c r="E20" s="62">
        <v>1</v>
      </c>
      <c r="F20" s="62">
        <v>1</v>
      </c>
      <c r="G20" s="62">
        <v>1</v>
      </c>
      <c r="H20" s="62">
        <v>1</v>
      </c>
      <c r="I20" s="62">
        <v>1</v>
      </c>
    </row>
    <row r="21" spans="2:9" ht="51.75" customHeight="1" x14ac:dyDescent="0.2">
      <c r="B21" s="667" t="s">
        <v>291</v>
      </c>
      <c r="C21" s="667"/>
      <c r="D21" s="62">
        <v>1.06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</row>
    <row r="22" spans="2:9" ht="29.25" customHeight="1" x14ac:dyDescent="0.2">
      <c r="B22" s="667" t="s">
        <v>292</v>
      </c>
      <c r="C22" s="667"/>
      <c r="D22" s="62">
        <v>1</v>
      </c>
      <c r="E22" s="62">
        <v>0.94</v>
      </c>
      <c r="F22" s="62">
        <v>0.93</v>
      </c>
      <c r="G22" s="62">
        <v>0.36</v>
      </c>
      <c r="H22" s="62">
        <v>1</v>
      </c>
      <c r="I22" s="62">
        <v>1</v>
      </c>
    </row>
    <row r="23" spans="2:9" ht="29.25" customHeight="1" x14ac:dyDescent="0.2">
      <c r="B23" s="667" t="s">
        <v>293</v>
      </c>
      <c r="C23" s="667"/>
      <c r="D23" s="62">
        <v>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</row>
    <row r="24" spans="2:9" ht="48.75" customHeight="1" x14ac:dyDescent="0.2">
      <c r="B24" s="667" t="s">
        <v>294</v>
      </c>
      <c r="C24" s="667"/>
      <c r="D24" s="62">
        <v>1</v>
      </c>
      <c r="E24" s="62">
        <v>1.08</v>
      </c>
      <c r="F24" s="62">
        <v>1</v>
      </c>
      <c r="G24" s="62">
        <v>1</v>
      </c>
      <c r="H24" s="62">
        <v>1</v>
      </c>
      <c r="I24" s="62">
        <v>1</v>
      </c>
    </row>
    <row r="25" spans="2:9" ht="55.5" customHeight="1" x14ac:dyDescent="0.2">
      <c r="B25" s="667" t="s">
        <v>295</v>
      </c>
      <c r="C25" s="667"/>
      <c r="D25" s="62">
        <v>1.1399999999999999</v>
      </c>
      <c r="E25" s="62">
        <v>1</v>
      </c>
      <c r="F25" s="62">
        <v>1</v>
      </c>
      <c r="G25" s="62">
        <v>1.07</v>
      </c>
      <c r="H25" s="62">
        <v>0.86</v>
      </c>
      <c r="I25" s="62">
        <v>1.4</v>
      </c>
    </row>
    <row r="26" spans="2:9" ht="45" customHeight="1" x14ac:dyDescent="0.2">
      <c r="B26" s="667" t="s">
        <v>296</v>
      </c>
      <c r="C26" s="667"/>
      <c r="D26" s="62">
        <v>1</v>
      </c>
      <c r="E26" s="62">
        <v>1</v>
      </c>
      <c r="F26" s="118">
        <v>1</v>
      </c>
      <c r="G26" s="118">
        <v>1</v>
      </c>
      <c r="H26" s="62">
        <v>1</v>
      </c>
      <c r="I26" s="62">
        <v>1</v>
      </c>
    </row>
    <row r="27" spans="2:9" ht="56.25" customHeight="1" x14ac:dyDescent="0.2">
      <c r="B27" s="667" t="s">
        <v>297</v>
      </c>
      <c r="C27" s="667"/>
      <c r="D27" s="62">
        <v>0</v>
      </c>
      <c r="E27" s="62">
        <v>0.67</v>
      </c>
      <c r="F27" s="62">
        <v>1</v>
      </c>
      <c r="G27" s="62">
        <v>0</v>
      </c>
      <c r="H27" s="62" t="s">
        <v>231</v>
      </c>
      <c r="I27" s="62">
        <v>0</v>
      </c>
    </row>
    <row r="28" spans="2:9" ht="22.5" customHeight="1" x14ac:dyDescent="0.25">
      <c r="B28" s="701" t="e">
        <f>D30</f>
        <v>#REF!</v>
      </c>
      <c r="C28" s="701"/>
      <c r="D28" s="51">
        <f>COUNTIF(D13:D27,"&gt;=100%")</f>
        <v>12</v>
      </c>
      <c r="E28" s="51">
        <f t="shared" ref="E28:F28" si="0">COUNTIF(E13:E27,"&gt;=100%")</f>
        <v>9</v>
      </c>
      <c r="F28" s="51">
        <f t="shared" si="0"/>
        <v>11</v>
      </c>
      <c r="G28" s="51">
        <f>COUNTIF(G13:G27,"&gt;=100%")</f>
        <v>9</v>
      </c>
      <c r="H28" s="51">
        <f>COUNTIF(H13:H27,"&gt;=100%")</f>
        <v>12</v>
      </c>
      <c r="I28" s="51">
        <f>COUNTIF(I13:I27,"&gt;=100%")</f>
        <v>9</v>
      </c>
    </row>
    <row r="29" spans="2:9" ht="22.5" customHeight="1" x14ac:dyDescent="0.25">
      <c r="B29" s="702" t="s">
        <v>268</v>
      </c>
      <c r="C29" s="702"/>
      <c r="D29" s="51">
        <f t="shared" ref="D29:E29" si="1">COUNT(D13:D27)</f>
        <v>14</v>
      </c>
      <c r="E29" s="51">
        <f t="shared" si="1"/>
        <v>15</v>
      </c>
      <c r="F29" s="51">
        <f>COUNT(F13:F27)</f>
        <v>15</v>
      </c>
      <c r="G29" s="51">
        <f>COUNT(G13:G27)</f>
        <v>15</v>
      </c>
      <c r="H29" s="51">
        <f>COUNT(H13:H27)</f>
        <v>14</v>
      </c>
      <c r="I29" s="51">
        <f>COUNT(I13:I27)</f>
        <v>15</v>
      </c>
    </row>
    <row r="30" spans="2:9" ht="22.5" customHeight="1" x14ac:dyDescent="0.2">
      <c r="B30" s="703" t="s">
        <v>225</v>
      </c>
      <c r="C30" s="704"/>
      <c r="D30" s="119" t="e">
        <f>$D5</f>
        <v>#REF!</v>
      </c>
      <c r="E30" s="119" t="e">
        <f t="shared" ref="E30:F30" si="2">$D5</f>
        <v>#REF!</v>
      </c>
      <c r="F30" s="119" t="e">
        <f t="shared" si="2"/>
        <v>#REF!</v>
      </c>
      <c r="G30" s="119" t="e">
        <f>$D5</f>
        <v>#REF!</v>
      </c>
      <c r="H30" s="119" t="e">
        <f>$D5</f>
        <v>#REF!</v>
      </c>
      <c r="I30" s="119" t="e">
        <f>$D5</f>
        <v>#REF!</v>
      </c>
    </row>
    <row r="31" spans="2:9" ht="22.5" customHeight="1" x14ac:dyDescent="0.2">
      <c r="B31" s="703" t="s">
        <v>226</v>
      </c>
      <c r="C31" s="704"/>
      <c r="D31" s="57">
        <f t="shared" ref="D31:I31" si="3">D28/D29</f>
        <v>0.8571428571428571</v>
      </c>
      <c r="E31" s="101">
        <f t="shared" si="3"/>
        <v>0.6</v>
      </c>
      <c r="F31" s="57">
        <f t="shared" si="3"/>
        <v>0.73333333333333328</v>
      </c>
      <c r="G31" s="101">
        <f t="shared" si="3"/>
        <v>0.6</v>
      </c>
      <c r="H31" s="57">
        <f t="shared" si="3"/>
        <v>0.8571428571428571</v>
      </c>
      <c r="I31" s="101">
        <f t="shared" si="3"/>
        <v>0.6</v>
      </c>
    </row>
    <row r="33" spans="2:10" ht="22.5" customHeight="1" x14ac:dyDescent="0.2">
      <c r="B33" s="572" t="s">
        <v>227</v>
      </c>
      <c r="C33" s="573"/>
      <c r="D33" s="573"/>
      <c r="E33" s="574"/>
      <c r="F33" s="6"/>
      <c r="G33" s="572" t="s">
        <v>228</v>
      </c>
      <c r="H33" s="573"/>
      <c r="I33" s="573"/>
      <c r="J33" s="574"/>
    </row>
    <row r="34" spans="2:10" ht="22.5" customHeight="1" x14ac:dyDescent="0.2">
      <c r="B34" s="6"/>
      <c r="C34" s="6"/>
      <c r="D34" s="6"/>
      <c r="E34" s="6"/>
      <c r="F34" s="6"/>
      <c r="G34" s="7"/>
      <c r="H34" s="7"/>
      <c r="I34" s="7"/>
      <c r="J34" s="7"/>
    </row>
    <row r="35" spans="2:10" ht="6" customHeight="1" x14ac:dyDescent="0.2">
      <c r="B35" s="6"/>
      <c r="C35" s="6"/>
      <c r="D35" s="6"/>
      <c r="E35" s="6"/>
      <c r="F35" s="6"/>
      <c r="G35" s="694" t="s">
        <v>169</v>
      </c>
      <c r="H35" s="656"/>
      <c r="I35" s="656"/>
      <c r="J35" s="657"/>
    </row>
    <row r="36" spans="2:10" ht="19.5" customHeight="1" x14ac:dyDescent="0.2">
      <c r="B36" s="6"/>
      <c r="C36" s="6"/>
      <c r="D36" s="6"/>
      <c r="E36" s="6"/>
      <c r="F36" s="6"/>
      <c r="G36" s="695"/>
      <c r="H36" s="696"/>
      <c r="I36" s="696"/>
      <c r="J36" s="697"/>
    </row>
    <row r="37" spans="2:10" ht="19.5" customHeight="1" x14ac:dyDescent="0.2">
      <c r="B37" s="6"/>
      <c r="C37" s="6"/>
      <c r="D37" s="6"/>
      <c r="E37" s="6"/>
      <c r="F37" s="6"/>
      <c r="G37" s="695"/>
      <c r="H37" s="696"/>
      <c r="I37" s="696"/>
      <c r="J37" s="697"/>
    </row>
    <row r="38" spans="2:10" ht="19.5" customHeight="1" x14ac:dyDescent="0.2">
      <c r="B38" s="6"/>
      <c r="C38" s="6"/>
      <c r="D38" s="6"/>
      <c r="E38" s="6"/>
      <c r="F38" s="6"/>
      <c r="G38" s="695"/>
      <c r="H38" s="696"/>
      <c r="I38" s="696"/>
      <c r="J38" s="697"/>
    </row>
    <row r="39" spans="2:10" ht="19.5" customHeight="1" x14ac:dyDescent="0.2">
      <c r="B39" s="6"/>
      <c r="C39" s="6"/>
      <c r="D39" s="6"/>
      <c r="E39" s="6"/>
      <c r="F39" s="6"/>
      <c r="G39" s="695"/>
      <c r="H39" s="696"/>
      <c r="I39" s="696"/>
      <c r="J39" s="697"/>
    </row>
    <row r="40" spans="2:10" ht="19.5" customHeight="1" x14ac:dyDescent="0.2">
      <c r="B40" s="6"/>
      <c r="C40" s="6"/>
      <c r="D40" s="6"/>
      <c r="E40" s="6"/>
      <c r="F40" s="6"/>
      <c r="G40" s="695"/>
      <c r="H40" s="696"/>
      <c r="I40" s="696"/>
      <c r="J40" s="697"/>
    </row>
    <row r="41" spans="2:10" ht="19.5" customHeight="1" x14ac:dyDescent="0.2">
      <c r="B41" s="6"/>
      <c r="C41" s="6"/>
      <c r="D41" s="6"/>
      <c r="E41" s="6"/>
      <c r="F41" s="6"/>
      <c r="G41" s="695"/>
      <c r="H41" s="696"/>
      <c r="I41" s="696"/>
      <c r="J41" s="697"/>
    </row>
    <row r="42" spans="2:10" ht="19.5" customHeight="1" x14ac:dyDescent="0.2">
      <c r="B42" s="6"/>
      <c r="C42" s="6"/>
      <c r="D42" s="6"/>
      <c r="E42" s="6"/>
      <c r="F42" s="6"/>
      <c r="G42" s="695"/>
      <c r="H42" s="696"/>
      <c r="I42" s="696"/>
      <c r="J42" s="697"/>
    </row>
    <row r="43" spans="2:10" ht="19.5" customHeight="1" x14ac:dyDescent="0.2">
      <c r="B43" s="6"/>
      <c r="C43" s="6"/>
      <c r="D43" s="6"/>
      <c r="E43" s="6"/>
      <c r="F43" s="6"/>
      <c r="G43" s="698"/>
      <c r="H43" s="699"/>
      <c r="I43" s="699"/>
      <c r="J43" s="700"/>
    </row>
    <row r="44" spans="2:10" ht="19.5" customHeight="1" x14ac:dyDescent="0.2"/>
    <row r="45" spans="2:10" ht="19.5" customHeight="1" x14ac:dyDescent="0.2">
      <c r="H45" s="568" t="s">
        <v>169</v>
      </c>
      <c r="I45" s="569"/>
      <c r="J45" s="569"/>
    </row>
  </sheetData>
  <sheetProtection sheet="1" formatCells="0" formatColumns="0" formatRows="0" insertColumns="0" insertRows="0" insertHyperlinks="0" deleteColumns="0" deleteRows="0" pivotTables="0"/>
  <mergeCells count="39">
    <mergeCell ref="G35:J43"/>
    <mergeCell ref="H45:J45"/>
    <mergeCell ref="B13:C13"/>
    <mergeCell ref="B14:C14"/>
    <mergeCell ref="B15:C15"/>
    <mergeCell ref="B16:C16"/>
    <mergeCell ref="B17:C17"/>
    <mergeCell ref="B24:C24"/>
    <mergeCell ref="B25:C25"/>
    <mergeCell ref="B26:C26"/>
    <mergeCell ref="B28:C28"/>
    <mergeCell ref="B29:C29"/>
    <mergeCell ref="B30:C30"/>
    <mergeCell ref="B31:C31"/>
    <mergeCell ref="B33:E33"/>
    <mergeCell ref="G33:J33"/>
    <mergeCell ref="B23:C23"/>
    <mergeCell ref="B27:C27"/>
    <mergeCell ref="B9:J9"/>
    <mergeCell ref="B7:C7"/>
    <mergeCell ref="D7:J7"/>
    <mergeCell ref="B18:C18"/>
    <mergeCell ref="B19:C19"/>
    <mergeCell ref="B20:C20"/>
    <mergeCell ref="B21:C21"/>
    <mergeCell ref="B22:C22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8D89-FCB1-4B0C-9453-F5DF9DC559C6}">
  <sheetPr>
    <tabColor theme="9" tint="-0.499984740745262"/>
    <pageSetUpPr fitToPage="1"/>
  </sheetPr>
  <dimension ref="B2:N48"/>
  <sheetViews>
    <sheetView showGridLines="0" topLeftCell="A31" workbookViewId="0">
      <selection activeCell="J37" sqref="J3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3"/>
      <c r="H4" s="705" t="e">
        <f>#REF!</f>
        <v>#REF!</v>
      </c>
      <c r="I4" s="706"/>
      <c r="J4" s="706"/>
    </row>
    <row r="5" spans="2:10" ht="22.5" customHeight="1" x14ac:dyDescent="0.2">
      <c r="B5" s="572" t="s">
        <v>210</v>
      </c>
      <c r="C5" s="574"/>
      <c r="D5" s="707" t="e">
        <f>#REF!</f>
        <v>#REF!</v>
      </c>
      <c r="E5" s="658"/>
      <c r="F5" s="687" t="s">
        <v>211</v>
      </c>
      <c r="G5" s="573"/>
      <c r="H5" s="688" t="s">
        <v>235</v>
      </c>
      <c r="I5" s="689"/>
      <c r="J5" s="689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3"/>
      <c r="H6" s="10" t="e">
        <f>#REF!</f>
        <v>#REF!</v>
      </c>
      <c r="I6" s="37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17"/>
      <c r="I7" s="617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0" t="s">
        <v>218</v>
      </c>
      <c r="E12" s="100" t="s">
        <v>219</v>
      </c>
      <c r="F12" s="100" t="s">
        <v>220</v>
      </c>
      <c r="G12" s="100" t="s">
        <v>221</v>
      </c>
      <c r="H12" s="100" t="s">
        <v>222</v>
      </c>
      <c r="I12" s="100" t="s">
        <v>223</v>
      </c>
    </row>
    <row r="13" spans="2:10" ht="41.25" customHeight="1" x14ac:dyDescent="0.2">
      <c r="B13" s="667" t="s">
        <v>238</v>
      </c>
      <c r="C13" s="667"/>
      <c r="D13" s="73">
        <v>0.86799999999999999</v>
      </c>
      <c r="E13" s="92">
        <v>0.79</v>
      </c>
      <c r="F13" s="92">
        <v>0.78</v>
      </c>
      <c r="G13" s="92">
        <v>0.76</v>
      </c>
      <c r="H13" s="93">
        <v>0.751</v>
      </c>
      <c r="I13" s="92">
        <v>0.74</v>
      </c>
    </row>
    <row r="14" spans="2:10" ht="41.25" customHeight="1" x14ac:dyDescent="0.2">
      <c r="B14" s="667" t="s">
        <v>287</v>
      </c>
      <c r="C14" s="667"/>
      <c r="D14" s="62">
        <v>0.68</v>
      </c>
      <c r="E14" s="92">
        <v>0.71</v>
      </c>
      <c r="F14" s="92">
        <v>0.7</v>
      </c>
      <c r="G14" s="92">
        <v>0.7</v>
      </c>
      <c r="H14" s="93">
        <v>0.72189999999999999</v>
      </c>
      <c r="I14" s="492">
        <v>0.68</v>
      </c>
    </row>
    <row r="15" spans="2:10" ht="41.25" customHeight="1" x14ac:dyDescent="0.2">
      <c r="B15" s="667" t="s">
        <v>244</v>
      </c>
      <c r="C15" s="667"/>
      <c r="D15" s="62">
        <v>0.85</v>
      </c>
      <c r="E15" s="92">
        <v>0.86</v>
      </c>
      <c r="F15" s="92">
        <v>0.82</v>
      </c>
      <c r="G15" s="92">
        <v>0.81</v>
      </c>
      <c r="H15" s="93">
        <v>0.78359999999999996</v>
      </c>
      <c r="I15" s="92">
        <v>0.87</v>
      </c>
    </row>
    <row r="16" spans="2:10" ht="41.25" customHeight="1" x14ac:dyDescent="0.2">
      <c r="B16" s="667" t="s">
        <v>241</v>
      </c>
      <c r="C16" s="667"/>
      <c r="D16" s="62">
        <v>0.9</v>
      </c>
      <c r="E16" s="93">
        <v>0.90400000000000003</v>
      </c>
      <c r="F16" s="91" t="s">
        <v>298</v>
      </c>
      <c r="G16" s="92">
        <v>0.87</v>
      </c>
      <c r="H16" s="93">
        <v>0.89190000000000003</v>
      </c>
      <c r="I16" s="92">
        <v>0.91</v>
      </c>
    </row>
    <row r="17" spans="2:9" ht="41.25" customHeight="1" x14ac:dyDescent="0.2">
      <c r="B17" s="667" t="s">
        <v>246</v>
      </c>
      <c r="C17" s="667"/>
      <c r="D17" s="62">
        <v>0.88</v>
      </c>
      <c r="E17" s="92">
        <v>0.94</v>
      </c>
      <c r="F17" s="92">
        <v>0.94</v>
      </c>
      <c r="G17" s="92">
        <v>0.95</v>
      </c>
      <c r="H17" s="93">
        <v>0.93440000000000001</v>
      </c>
      <c r="I17" s="92">
        <v>0.93</v>
      </c>
    </row>
    <row r="18" spans="2:9" ht="41.25" customHeight="1" x14ac:dyDescent="0.2">
      <c r="B18" s="667" t="s">
        <v>248</v>
      </c>
      <c r="C18" s="667"/>
      <c r="D18" s="62">
        <v>0.83</v>
      </c>
      <c r="E18" s="92">
        <v>0.83</v>
      </c>
      <c r="F18" s="92">
        <v>0.86</v>
      </c>
      <c r="G18" s="92">
        <v>0.81</v>
      </c>
      <c r="H18" s="93">
        <v>0.78129999999999999</v>
      </c>
      <c r="I18" s="92">
        <v>0.79</v>
      </c>
    </row>
    <row r="19" spans="2:9" ht="41.25" customHeight="1" x14ac:dyDescent="0.2">
      <c r="B19" s="667" t="s">
        <v>289</v>
      </c>
      <c r="C19" s="667"/>
      <c r="D19" s="42" t="s">
        <v>290</v>
      </c>
      <c r="E19" s="92">
        <v>1</v>
      </c>
      <c r="F19" s="92">
        <v>0.94</v>
      </c>
      <c r="G19" s="92">
        <v>0.88</v>
      </c>
      <c r="H19" s="93">
        <v>0.84130000000000005</v>
      </c>
      <c r="I19" s="92">
        <v>0.86</v>
      </c>
    </row>
    <row r="20" spans="2:9" ht="43.5" customHeight="1" x14ac:dyDescent="0.2">
      <c r="B20" s="667" t="s">
        <v>288</v>
      </c>
      <c r="C20" s="667"/>
      <c r="D20" s="62">
        <v>0.83</v>
      </c>
      <c r="E20" s="92">
        <v>0.81</v>
      </c>
      <c r="F20" s="92">
        <v>0.86</v>
      </c>
      <c r="G20" s="92">
        <v>0.84</v>
      </c>
      <c r="H20" s="92">
        <v>0.85</v>
      </c>
      <c r="I20" s="92">
        <v>0.83</v>
      </c>
    </row>
    <row r="21" spans="2:9" ht="29.25" customHeight="1" x14ac:dyDescent="0.2">
      <c r="B21" s="667" t="s">
        <v>299</v>
      </c>
      <c r="C21" s="667"/>
      <c r="D21" s="62">
        <v>0.86</v>
      </c>
      <c r="E21" s="92">
        <v>0.82</v>
      </c>
      <c r="F21" s="92">
        <v>0.79</v>
      </c>
      <c r="G21" s="92">
        <v>0.75</v>
      </c>
      <c r="H21" s="93">
        <v>0.75890000000000002</v>
      </c>
      <c r="I21" s="93" t="s">
        <v>231</v>
      </c>
    </row>
    <row r="22" spans="2:9" ht="37.5" customHeight="1" x14ac:dyDescent="0.2">
      <c r="B22" s="667" t="s">
        <v>300</v>
      </c>
      <c r="C22" s="667"/>
      <c r="D22" s="62">
        <v>0.96</v>
      </c>
      <c r="E22" s="92">
        <v>0.94</v>
      </c>
      <c r="F22" s="92">
        <v>0.94</v>
      </c>
      <c r="G22" s="92">
        <v>0.93</v>
      </c>
      <c r="H22" s="93">
        <v>0.93269999999999997</v>
      </c>
      <c r="I22" s="93" t="s">
        <v>231</v>
      </c>
    </row>
    <row r="23" spans="2:9" ht="37.5" customHeight="1" x14ac:dyDescent="0.2">
      <c r="B23" s="667" t="s">
        <v>301</v>
      </c>
      <c r="C23" s="667"/>
      <c r="D23" s="62">
        <v>0.85</v>
      </c>
      <c r="E23" s="92">
        <v>0.87</v>
      </c>
      <c r="F23" s="92">
        <v>0.9</v>
      </c>
      <c r="G23" s="92">
        <v>0.96</v>
      </c>
      <c r="H23" s="93">
        <v>0.80759999999999998</v>
      </c>
      <c r="I23" s="93" t="s">
        <v>231</v>
      </c>
    </row>
    <row r="24" spans="2:9" ht="51.75" customHeight="1" x14ac:dyDescent="0.2">
      <c r="B24" s="667" t="s">
        <v>291</v>
      </c>
      <c r="C24" s="667"/>
      <c r="D24" s="73">
        <v>0.91500000000000004</v>
      </c>
      <c r="E24" s="92">
        <v>0.88</v>
      </c>
      <c r="F24" s="92">
        <v>0.9</v>
      </c>
      <c r="G24" s="93">
        <v>0.89800000000000002</v>
      </c>
      <c r="H24" s="92">
        <v>0.93</v>
      </c>
      <c r="I24" s="92">
        <v>0.88</v>
      </c>
    </row>
    <row r="25" spans="2:9" ht="29.25" customHeight="1" x14ac:dyDescent="0.2">
      <c r="B25" s="667" t="s">
        <v>292</v>
      </c>
      <c r="C25" s="667"/>
      <c r="D25" s="73">
        <v>0.995</v>
      </c>
      <c r="E25" s="93">
        <v>0.86199999999999999</v>
      </c>
      <c r="F25" s="93">
        <v>0.88400000000000001</v>
      </c>
      <c r="G25" s="93">
        <v>0.89500000000000002</v>
      </c>
      <c r="H25" s="93">
        <v>0.99950000000000006</v>
      </c>
      <c r="I25" s="92">
        <v>0.77</v>
      </c>
    </row>
    <row r="26" spans="2:9" ht="29.25" customHeight="1" x14ac:dyDescent="0.2">
      <c r="B26" s="667" t="s">
        <v>293</v>
      </c>
      <c r="C26" s="667"/>
      <c r="D26" s="92">
        <v>1</v>
      </c>
      <c r="E26" s="92">
        <v>1</v>
      </c>
      <c r="F26" s="92">
        <v>1</v>
      </c>
      <c r="G26" s="93">
        <v>0.98599999999999999</v>
      </c>
      <c r="H26" s="93" t="s">
        <v>302</v>
      </c>
      <c r="I26" s="92">
        <v>1</v>
      </c>
    </row>
    <row r="27" spans="2:9" ht="48.75" customHeight="1" x14ac:dyDescent="0.2">
      <c r="B27" s="667" t="s">
        <v>294</v>
      </c>
      <c r="C27" s="667"/>
      <c r="D27" s="73">
        <v>0.96599999999999997</v>
      </c>
      <c r="E27" s="92">
        <v>1</v>
      </c>
      <c r="F27" s="93">
        <v>0.95599999999999996</v>
      </c>
      <c r="G27" s="93">
        <v>0.97699999999999998</v>
      </c>
      <c r="H27" s="93">
        <v>0.97499999999999998</v>
      </c>
      <c r="I27" s="92">
        <v>0.96</v>
      </c>
    </row>
    <row r="28" spans="2:9" ht="55.5" customHeight="1" x14ac:dyDescent="0.2">
      <c r="B28" s="667" t="s">
        <v>295</v>
      </c>
      <c r="C28" s="667"/>
      <c r="D28" s="93">
        <v>0.96299999999999997</v>
      </c>
      <c r="E28" s="93">
        <v>0.93100000000000005</v>
      </c>
      <c r="F28" s="92">
        <v>0.97</v>
      </c>
      <c r="G28" s="92">
        <v>0.91</v>
      </c>
      <c r="H28" s="93">
        <v>0.91679999999999995</v>
      </c>
      <c r="I28" s="92">
        <v>0.92</v>
      </c>
    </row>
    <row r="29" spans="2:9" ht="45.75" customHeight="1" x14ac:dyDescent="0.2">
      <c r="B29" s="667" t="s">
        <v>296</v>
      </c>
      <c r="C29" s="667"/>
      <c r="D29" s="92">
        <v>1</v>
      </c>
      <c r="E29" s="92">
        <v>1</v>
      </c>
      <c r="F29" s="93">
        <v>0.996</v>
      </c>
      <c r="G29" s="92">
        <v>1</v>
      </c>
      <c r="H29" s="92">
        <v>1</v>
      </c>
      <c r="I29" s="92">
        <v>1</v>
      </c>
    </row>
    <row r="30" spans="2:9" ht="56.25" customHeight="1" x14ac:dyDescent="0.2">
      <c r="B30" s="667" t="s">
        <v>297</v>
      </c>
      <c r="C30" s="667"/>
      <c r="D30" s="93">
        <v>0.94199999999999995</v>
      </c>
      <c r="E30" s="93">
        <v>0.94399999999999995</v>
      </c>
      <c r="F30" s="93">
        <v>0.92400000000000004</v>
      </c>
      <c r="G30" s="93">
        <v>0.95499999999999996</v>
      </c>
      <c r="H30" s="92">
        <v>1</v>
      </c>
      <c r="I30" s="92">
        <v>0.9</v>
      </c>
    </row>
    <row r="31" spans="2:9" ht="22.5" customHeight="1" x14ac:dyDescent="0.2">
      <c r="B31" s="173">
        <f>D33</f>
        <v>0.7</v>
      </c>
      <c r="C31" s="173">
        <v>0.7</v>
      </c>
      <c r="D31" s="71">
        <f>COUNTIF(D13:D30,"&gt;=70%")</f>
        <v>16</v>
      </c>
      <c r="E31" s="71">
        <f t="shared" ref="E31:G31" si="0">COUNTIF(E13:E30,"&gt;=70%")</f>
        <v>18</v>
      </c>
      <c r="F31" s="71">
        <f t="shared" si="0"/>
        <v>17</v>
      </c>
      <c r="G31" s="71">
        <f t="shared" si="0"/>
        <v>18</v>
      </c>
      <c r="H31" s="71">
        <f>COUNTIF(H13:H30,"&gt;=70%")</f>
        <v>17</v>
      </c>
      <c r="I31" s="71">
        <f>COUNTIF(I13:I30,"&gt;=70%")</f>
        <v>14</v>
      </c>
    </row>
    <row r="32" spans="2:9" ht="22.5" customHeight="1" x14ac:dyDescent="0.2">
      <c r="B32" s="644" t="s">
        <v>268</v>
      </c>
      <c r="C32" s="644"/>
      <c r="D32" s="71">
        <f t="shared" ref="D32:I32" si="1">COUNT(D13:D30)</f>
        <v>17</v>
      </c>
      <c r="E32" s="71">
        <f t="shared" si="1"/>
        <v>18</v>
      </c>
      <c r="F32" s="71">
        <f t="shared" si="1"/>
        <v>17</v>
      </c>
      <c r="G32" s="71">
        <f t="shared" si="1"/>
        <v>18</v>
      </c>
      <c r="H32" s="71">
        <f t="shared" si="1"/>
        <v>17</v>
      </c>
      <c r="I32" s="71">
        <f t="shared" si="1"/>
        <v>15</v>
      </c>
    </row>
    <row r="33" spans="2:14" ht="22.5" customHeight="1" x14ac:dyDescent="0.2">
      <c r="B33" s="640" t="s">
        <v>225</v>
      </c>
      <c r="C33" s="706"/>
      <c r="D33" s="486">
        <v>0.7</v>
      </c>
      <c r="E33" s="486">
        <v>0.7</v>
      </c>
      <c r="F33" s="486">
        <v>0.7</v>
      </c>
      <c r="G33" s="486">
        <v>0.7</v>
      </c>
      <c r="H33" s="486">
        <v>0.7</v>
      </c>
      <c r="I33" s="486">
        <v>0.7</v>
      </c>
      <c r="K33" s="23"/>
    </row>
    <row r="34" spans="2:14" ht="22.5" customHeight="1" x14ac:dyDescent="0.2">
      <c r="B34" s="640" t="s">
        <v>226</v>
      </c>
      <c r="C34" s="706"/>
      <c r="D34" s="50">
        <f t="shared" ref="D34:I34" si="2">D31/D32</f>
        <v>0.94117647058823528</v>
      </c>
      <c r="E34" s="487">
        <f t="shared" si="2"/>
        <v>1</v>
      </c>
      <c r="F34" s="487">
        <f t="shared" si="2"/>
        <v>1</v>
      </c>
      <c r="G34" s="487">
        <f t="shared" si="2"/>
        <v>1</v>
      </c>
      <c r="H34" s="487">
        <f t="shared" si="2"/>
        <v>1</v>
      </c>
      <c r="I34" s="50">
        <f t="shared" si="2"/>
        <v>0.93333333333333335</v>
      </c>
      <c r="K34" s="24"/>
    </row>
    <row r="35" spans="2:14" ht="22.5" customHeight="1" x14ac:dyDescent="0.25">
      <c r="B35" s="5"/>
      <c r="C35" s="5"/>
      <c r="D35" s="4"/>
      <c r="E35" s="4"/>
      <c r="F35" s="4"/>
      <c r="G35" s="4"/>
      <c r="H35" s="4"/>
      <c r="I35" s="4"/>
      <c r="J35" s="4"/>
    </row>
    <row r="36" spans="2:14" ht="22.5" customHeight="1" x14ac:dyDescent="0.2">
      <c r="B36" s="572" t="s">
        <v>227</v>
      </c>
      <c r="C36" s="573"/>
      <c r="D36" s="573"/>
      <c r="E36" s="574"/>
      <c r="F36" s="6"/>
      <c r="K36" s="572" t="s">
        <v>228</v>
      </c>
      <c r="L36" s="573"/>
      <c r="M36" s="573"/>
      <c r="N36" s="574"/>
    </row>
    <row r="37" spans="2:14" ht="22.5" customHeight="1" x14ac:dyDescent="0.2">
      <c r="B37" s="6"/>
      <c r="C37" s="6"/>
      <c r="D37" s="6"/>
      <c r="E37" s="6"/>
      <c r="F37" s="6"/>
      <c r="K37" s="7"/>
      <c r="L37" s="7"/>
      <c r="M37" s="7"/>
      <c r="N37" s="7"/>
    </row>
    <row r="38" spans="2:14" ht="6" customHeight="1" x14ac:dyDescent="0.2">
      <c r="B38" s="6"/>
      <c r="C38" s="6"/>
      <c r="D38" s="6"/>
      <c r="E38" s="6"/>
      <c r="F38" s="6"/>
      <c r="K38" s="559" t="s">
        <v>169</v>
      </c>
      <c r="L38" s="560"/>
      <c r="M38" s="560"/>
      <c r="N38" s="561"/>
    </row>
    <row r="39" spans="2:14" ht="19.5" customHeight="1" x14ac:dyDescent="0.2">
      <c r="B39" s="6"/>
      <c r="C39" s="6"/>
      <c r="D39" s="6"/>
      <c r="E39" s="6"/>
      <c r="F39" s="6"/>
      <c r="K39" s="562"/>
      <c r="L39" s="563"/>
      <c r="M39" s="563"/>
      <c r="N39" s="564"/>
    </row>
    <row r="40" spans="2:14" ht="19.5" customHeight="1" x14ac:dyDescent="0.2">
      <c r="B40" s="6"/>
      <c r="C40" s="6"/>
      <c r="D40" s="6"/>
      <c r="E40" s="6"/>
      <c r="F40" s="6"/>
      <c r="K40" s="562"/>
      <c r="L40" s="563"/>
      <c r="M40" s="563"/>
      <c r="N40" s="564"/>
    </row>
    <row r="41" spans="2:14" ht="19.5" customHeight="1" x14ac:dyDescent="0.2">
      <c r="B41" s="6"/>
      <c r="C41" s="6"/>
      <c r="D41" s="6"/>
      <c r="E41" s="6"/>
      <c r="F41" s="6"/>
      <c r="K41" s="562"/>
      <c r="L41" s="563"/>
      <c r="M41" s="563"/>
      <c r="N41" s="564"/>
    </row>
    <row r="42" spans="2:14" ht="19.5" customHeight="1" x14ac:dyDescent="0.2">
      <c r="B42" s="6"/>
      <c r="C42" s="6"/>
      <c r="D42" s="6"/>
      <c r="E42" s="6"/>
      <c r="F42" s="6"/>
      <c r="K42" s="562"/>
      <c r="L42" s="563"/>
      <c r="M42" s="563"/>
      <c r="N42" s="564"/>
    </row>
    <row r="43" spans="2:14" ht="19.5" customHeight="1" x14ac:dyDescent="0.2">
      <c r="B43" s="6"/>
      <c r="C43" s="6"/>
      <c r="D43" s="6"/>
      <c r="E43" s="6"/>
      <c r="F43" s="6"/>
      <c r="K43" s="562"/>
      <c r="L43" s="563"/>
      <c r="M43" s="563"/>
      <c r="N43" s="564"/>
    </row>
    <row r="44" spans="2:14" ht="19.5" customHeight="1" x14ac:dyDescent="0.2">
      <c r="B44" s="6"/>
      <c r="C44" s="6"/>
      <c r="D44" s="6"/>
      <c r="E44" s="6"/>
      <c r="F44" s="6"/>
      <c r="K44" s="562"/>
      <c r="L44" s="563"/>
      <c r="M44" s="563"/>
      <c r="N44" s="564"/>
    </row>
    <row r="45" spans="2:14" ht="19.5" customHeight="1" x14ac:dyDescent="0.2">
      <c r="B45" s="6"/>
      <c r="C45" s="6"/>
      <c r="D45" s="6"/>
      <c r="E45" s="6"/>
      <c r="F45" s="6"/>
      <c r="K45" s="562"/>
      <c r="L45" s="563"/>
      <c r="M45" s="563"/>
      <c r="N45" s="564"/>
    </row>
    <row r="46" spans="2:14" ht="19.5" customHeight="1" x14ac:dyDescent="0.2">
      <c r="B46" s="6"/>
      <c r="C46" s="6"/>
      <c r="D46" s="6"/>
      <c r="E46" s="6"/>
      <c r="F46" s="6"/>
      <c r="K46" s="565"/>
      <c r="L46" s="566"/>
      <c r="M46" s="566"/>
      <c r="N46" s="567"/>
    </row>
    <row r="47" spans="2:14" ht="19.5" customHeight="1" x14ac:dyDescent="0.2"/>
    <row r="48" spans="2:14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1">
    <mergeCell ref="B14:C14"/>
    <mergeCell ref="B15:C15"/>
    <mergeCell ref="B16:C16"/>
    <mergeCell ref="B17:C17"/>
    <mergeCell ref="B18:C18"/>
    <mergeCell ref="B19:C19"/>
    <mergeCell ref="B33:C33"/>
    <mergeCell ref="B34:C34"/>
    <mergeCell ref="B36:E36"/>
    <mergeCell ref="K36:N36"/>
    <mergeCell ref="B20:C20"/>
    <mergeCell ref="B21:C21"/>
    <mergeCell ref="B22:C22"/>
    <mergeCell ref="B23:C23"/>
    <mergeCell ref="B24:C24"/>
    <mergeCell ref="B25:C25"/>
    <mergeCell ref="K38:N46"/>
    <mergeCell ref="H48:J48"/>
    <mergeCell ref="B26:C26"/>
    <mergeCell ref="B27:C27"/>
    <mergeCell ref="B28:C28"/>
    <mergeCell ref="B29:C29"/>
    <mergeCell ref="B32:C32"/>
    <mergeCell ref="B30:C30"/>
    <mergeCell ref="B9:J9"/>
    <mergeCell ref="B13:C13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30">
    <cfRule type="cellIs" dxfId="53" priority="1" operator="between">
      <formula>0</formula>
      <formula>0.63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6266-F571-4F10-834F-D0F61A50F538}">
  <sheetPr>
    <tabColor theme="9" tint="-0.499984740745262"/>
    <pageSetUpPr fitToPage="1"/>
  </sheetPr>
  <dimension ref="B2:N38"/>
  <sheetViews>
    <sheetView showGridLines="0" topLeftCell="A22" workbookViewId="0">
      <selection activeCell="H25" sqref="H25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3"/>
      <c r="H4" s="705" t="e">
        <f>#REF!</f>
        <v>#REF!</v>
      </c>
      <c r="I4" s="706"/>
      <c r="J4" s="706"/>
    </row>
    <row r="5" spans="2:10" ht="22.5" customHeight="1" x14ac:dyDescent="0.2">
      <c r="B5" s="572" t="s">
        <v>210</v>
      </c>
      <c r="C5" s="574"/>
      <c r="D5" s="707" t="e">
        <f>#REF!</f>
        <v>#REF!</v>
      </c>
      <c r="E5" s="658"/>
      <c r="F5" s="687" t="s">
        <v>211</v>
      </c>
      <c r="G5" s="573"/>
      <c r="H5" s="688" t="s">
        <v>235</v>
      </c>
      <c r="I5" s="689"/>
      <c r="J5" s="708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3"/>
      <c r="H6" s="130" t="e">
        <f>#REF!</f>
        <v>#REF!</v>
      </c>
      <c r="I6" s="37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17"/>
      <c r="I7" s="617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0" t="s">
        <v>218</v>
      </c>
      <c r="E12" s="100" t="s">
        <v>219</v>
      </c>
      <c r="F12" s="100" t="s">
        <v>220</v>
      </c>
      <c r="G12" s="100" t="s">
        <v>221</v>
      </c>
      <c r="H12" s="100" t="s">
        <v>222</v>
      </c>
      <c r="I12" s="100" t="s">
        <v>223</v>
      </c>
    </row>
    <row r="13" spans="2:10" ht="41.25" customHeight="1" x14ac:dyDescent="0.2">
      <c r="B13" s="667" t="s">
        <v>238</v>
      </c>
      <c r="C13" s="667"/>
      <c r="D13" s="94">
        <f>(3.3+3.26)/2</f>
        <v>3.28</v>
      </c>
      <c r="E13" s="42">
        <v>3.42</v>
      </c>
      <c r="F13" s="95">
        <f>(3.29+3.2)/2</f>
        <v>3.2450000000000001</v>
      </c>
      <c r="G13" s="42">
        <v>3.42</v>
      </c>
      <c r="H13" s="42">
        <v>3.36</v>
      </c>
      <c r="I13" s="42">
        <v>3.33</v>
      </c>
      <c r="J13" s="19"/>
    </row>
    <row r="14" spans="2:10" ht="41.25" customHeight="1" x14ac:dyDescent="0.2">
      <c r="B14" s="667" t="s">
        <v>287</v>
      </c>
      <c r="C14" s="667"/>
      <c r="D14" s="94">
        <f>(3.17+3.31)/2</f>
        <v>3.24</v>
      </c>
      <c r="E14" s="42">
        <v>3.32</v>
      </c>
      <c r="F14" s="95">
        <v>3.16</v>
      </c>
      <c r="G14" s="42">
        <v>3.36</v>
      </c>
      <c r="H14" s="42">
        <v>3.45</v>
      </c>
      <c r="I14" s="42">
        <v>3.38</v>
      </c>
      <c r="J14" s="19"/>
    </row>
    <row r="15" spans="2:10" ht="41.25" customHeight="1" x14ac:dyDescent="0.2">
      <c r="B15" s="667" t="s">
        <v>244</v>
      </c>
      <c r="C15" s="667"/>
      <c r="D15" s="94">
        <f>(3.11+3.24)/2</f>
        <v>3.1749999999999998</v>
      </c>
      <c r="E15" s="42">
        <v>3.16</v>
      </c>
      <c r="F15" s="95">
        <f>(3.19+3.17)/2</f>
        <v>3.1799999999999997</v>
      </c>
      <c r="G15" s="42">
        <v>3.03</v>
      </c>
      <c r="H15" s="42">
        <v>3.36</v>
      </c>
      <c r="I15" s="42">
        <v>3.35</v>
      </c>
      <c r="J15" s="19"/>
    </row>
    <row r="16" spans="2:10" ht="41.25" customHeight="1" x14ac:dyDescent="0.2">
      <c r="B16" s="667" t="s">
        <v>241</v>
      </c>
      <c r="C16" s="667"/>
      <c r="D16" s="94">
        <f>(3.26+3.61)/2</f>
        <v>3.4349999999999996</v>
      </c>
      <c r="E16" s="42">
        <v>3.49</v>
      </c>
      <c r="F16" s="95">
        <f>(3.44+3.544)/2</f>
        <v>3.492</v>
      </c>
      <c r="G16" s="42">
        <v>3.55</v>
      </c>
      <c r="H16" s="42">
        <v>3.58</v>
      </c>
      <c r="I16" s="42">
        <v>3.57</v>
      </c>
      <c r="J16" s="19"/>
    </row>
    <row r="17" spans="2:14" ht="41.25" customHeight="1" x14ac:dyDescent="0.2">
      <c r="B17" s="667" t="s">
        <v>245</v>
      </c>
      <c r="C17" s="667"/>
      <c r="D17" s="94" t="s">
        <v>290</v>
      </c>
      <c r="E17" s="42">
        <v>3.65</v>
      </c>
      <c r="F17" s="95">
        <f>(3.61+3.62)/2</f>
        <v>3.6150000000000002</v>
      </c>
      <c r="G17" s="42" t="s">
        <v>271</v>
      </c>
      <c r="H17" s="42">
        <v>3.53</v>
      </c>
      <c r="I17" s="42">
        <v>3.46</v>
      </c>
      <c r="J17" s="19"/>
      <c r="K17" s="16"/>
    </row>
    <row r="18" spans="2:14" ht="41.25" customHeight="1" x14ac:dyDescent="0.2">
      <c r="B18" s="667" t="s">
        <v>246</v>
      </c>
      <c r="C18" s="667"/>
      <c r="D18" s="94">
        <f>(3.38+3.51)/2</f>
        <v>3.4449999999999998</v>
      </c>
      <c r="E18" s="42">
        <v>3.51</v>
      </c>
      <c r="F18" s="95">
        <f>(3.76+3.62)/2</f>
        <v>3.69</v>
      </c>
      <c r="G18" s="42">
        <v>3.55</v>
      </c>
      <c r="H18" s="42">
        <v>3.57</v>
      </c>
      <c r="I18" s="42">
        <v>3.62</v>
      </c>
      <c r="J18" s="19"/>
      <c r="K18" s="16"/>
    </row>
    <row r="19" spans="2:14" ht="41.25" customHeight="1" x14ac:dyDescent="0.2">
      <c r="B19" s="667" t="s">
        <v>248</v>
      </c>
      <c r="C19" s="667"/>
      <c r="D19" s="94">
        <f>(3.29+3.55)/2</f>
        <v>3.42</v>
      </c>
      <c r="E19" s="42">
        <v>3.51</v>
      </c>
      <c r="F19" s="95">
        <f>(3.28+3.55)/2</f>
        <v>3.415</v>
      </c>
      <c r="G19" s="42">
        <v>3.53</v>
      </c>
      <c r="H19" s="42">
        <v>3.56</v>
      </c>
      <c r="I19" s="42">
        <v>3.58</v>
      </c>
      <c r="J19" s="19"/>
      <c r="K19" s="16"/>
    </row>
    <row r="20" spans="2:14" ht="43.5" customHeight="1" x14ac:dyDescent="0.2">
      <c r="B20" s="667" t="s">
        <v>288</v>
      </c>
      <c r="C20" s="667"/>
      <c r="D20" s="94">
        <f>(3.26+3.62)/2</f>
        <v>3.44</v>
      </c>
      <c r="E20" s="95">
        <v>3.43</v>
      </c>
      <c r="F20" s="95">
        <f>(3.43+3.37)/2</f>
        <v>3.4000000000000004</v>
      </c>
      <c r="G20" s="95">
        <v>4</v>
      </c>
      <c r="H20" s="95">
        <v>3.59</v>
      </c>
      <c r="I20" s="95">
        <v>3.66</v>
      </c>
      <c r="J20" s="19"/>
      <c r="K20" s="16"/>
    </row>
    <row r="21" spans="2:14" ht="22.5" customHeight="1" x14ac:dyDescent="0.2">
      <c r="B21" s="642" t="e">
        <f>#REF!</f>
        <v>#REF!</v>
      </c>
      <c r="C21" s="642"/>
      <c r="D21" s="49">
        <f>COUNTIF(D13:D20,"&gt;=3")</f>
        <v>7</v>
      </c>
      <c r="E21" s="49">
        <f t="shared" ref="E21:G21" si="0">COUNTIF(E13:E20,"&gt;=3")</f>
        <v>8</v>
      </c>
      <c r="F21" s="49">
        <f t="shared" si="0"/>
        <v>8</v>
      </c>
      <c r="G21" s="49">
        <f t="shared" si="0"/>
        <v>7</v>
      </c>
      <c r="H21" s="49">
        <f>COUNTIF(H13:H20,"&gt;=3")</f>
        <v>8</v>
      </c>
      <c r="I21" s="49">
        <f>COUNTIF(I13:I20,"&gt;=3")</f>
        <v>8</v>
      </c>
    </row>
    <row r="22" spans="2:14" ht="22.5" customHeight="1" x14ac:dyDescent="0.2">
      <c r="B22" s="642" t="s">
        <v>303</v>
      </c>
      <c r="C22" s="642"/>
      <c r="D22" s="49">
        <f t="shared" ref="D22:I22" si="1">COUNT(D13:D20)</f>
        <v>7</v>
      </c>
      <c r="E22" s="49">
        <f t="shared" si="1"/>
        <v>8</v>
      </c>
      <c r="F22" s="49">
        <f t="shared" si="1"/>
        <v>8</v>
      </c>
      <c r="G22" s="49">
        <f t="shared" si="1"/>
        <v>7</v>
      </c>
      <c r="H22" s="49">
        <f t="shared" si="1"/>
        <v>8</v>
      </c>
      <c r="I22" s="49">
        <f t="shared" si="1"/>
        <v>8</v>
      </c>
    </row>
    <row r="23" spans="2:14" ht="22.5" customHeight="1" x14ac:dyDescent="0.2">
      <c r="B23" s="642" t="s">
        <v>304</v>
      </c>
      <c r="C23" s="642"/>
      <c r="D23" s="152" t="s">
        <v>305</v>
      </c>
      <c r="E23" s="152" t="s">
        <v>305</v>
      </c>
      <c r="F23" s="152" t="s">
        <v>305</v>
      </c>
      <c r="G23" s="152" t="s">
        <v>305</v>
      </c>
      <c r="H23" s="152" t="s">
        <v>305</v>
      </c>
      <c r="I23" s="152" t="s">
        <v>305</v>
      </c>
      <c r="K23" s="23"/>
    </row>
    <row r="24" spans="2:14" ht="22.5" customHeight="1" x14ac:dyDescent="0.2">
      <c r="B24" s="640" t="s">
        <v>226</v>
      </c>
      <c r="C24" s="706"/>
      <c r="D24" s="487">
        <f t="shared" ref="D24:I24" si="2">D21/D22</f>
        <v>1</v>
      </c>
      <c r="E24" s="487">
        <f t="shared" si="2"/>
        <v>1</v>
      </c>
      <c r="F24" s="487">
        <f t="shared" si="2"/>
        <v>1</v>
      </c>
      <c r="G24" s="487">
        <f t="shared" si="2"/>
        <v>1</v>
      </c>
      <c r="H24" s="487">
        <f t="shared" si="2"/>
        <v>1</v>
      </c>
      <c r="I24" s="487">
        <f t="shared" si="2"/>
        <v>1</v>
      </c>
      <c r="K24" s="47"/>
    </row>
    <row r="25" spans="2:14" ht="22.5" customHeight="1" x14ac:dyDescent="0.25">
      <c r="B25" s="5"/>
      <c r="C25" s="5"/>
      <c r="D25" s="4"/>
      <c r="E25" s="4"/>
      <c r="F25" s="4"/>
      <c r="G25" s="4"/>
      <c r="H25" s="4"/>
      <c r="I25" s="4"/>
      <c r="J25" s="4"/>
    </row>
    <row r="26" spans="2:14" ht="22.5" customHeight="1" x14ac:dyDescent="0.2">
      <c r="B26" s="572" t="s">
        <v>227</v>
      </c>
      <c r="C26" s="573"/>
      <c r="D26" s="573"/>
      <c r="E26" s="574"/>
      <c r="F26" s="6"/>
      <c r="K26" s="572" t="s">
        <v>228</v>
      </c>
      <c r="L26" s="573"/>
      <c r="M26" s="573"/>
      <c r="N26" s="574"/>
    </row>
    <row r="27" spans="2:14" ht="22.5" customHeight="1" x14ac:dyDescent="0.2">
      <c r="B27" s="6"/>
      <c r="C27" s="6"/>
      <c r="D27" s="6"/>
      <c r="E27" s="6"/>
      <c r="F27" s="6"/>
      <c r="K27" s="7"/>
      <c r="L27" s="7"/>
      <c r="M27" s="7"/>
      <c r="N27" s="7"/>
    </row>
    <row r="28" spans="2:14" ht="6" customHeight="1" x14ac:dyDescent="0.2">
      <c r="B28" s="6"/>
      <c r="C28" s="6"/>
      <c r="D28" s="6"/>
      <c r="E28" s="6"/>
      <c r="F28" s="6"/>
      <c r="K28" s="559" t="s">
        <v>169</v>
      </c>
      <c r="L28" s="560"/>
      <c r="M28" s="560"/>
      <c r="N28" s="561"/>
    </row>
    <row r="29" spans="2:14" ht="19.5" customHeight="1" x14ac:dyDescent="0.2">
      <c r="B29" s="6"/>
      <c r="C29" s="6"/>
      <c r="D29" s="6"/>
      <c r="E29" s="6"/>
      <c r="F29" s="6"/>
      <c r="K29" s="562"/>
      <c r="L29" s="563"/>
      <c r="M29" s="563"/>
      <c r="N29" s="564"/>
    </row>
    <row r="30" spans="2:14" ht="19.5" customHeight="1" x14ac:dyDescent="0.2">
      <c r="B30" s="6"/>
      <c r="C30" s="6"/>
      <c r="D30" s="6"/>
      <c r="E30" s="6"/>
      <c r="F30" s="6"/>
      <c r="K30" s="562"/>
      <c r="L30" s="563"/>
      <c r="M30" s="563"/>
      <c r="N30" s="564"/>
    </row>
    <row r="31" spans="2:14" ht="19.5" customHeight="1" x14ac:dyDescent="0.2">
      <c r="B31" s="6"/>
      <c r="C31" s="6"/>
      <c r="D31" s="6"/>
      <c r="E31" s="6"/>
      <c r="F31" s="6"/>
      <c r="K31" s="562"/>
      <c r="L31" s="563"/>
      <c r="M31" s="563"/>
      <c r="N31" s="564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5"/>
      <c r="L36" s="566"/>
      <c r="M36" s="566"/>
      <c r="N36" s="567"/>
    </row>
    <row r="37" spans="8:14" ht="19.5" customHeight="1" x14ac:dyDescent="0.2"/>
    <row r="38" spans="8:14" ht="19.5" customHeight="1" x14ac:dyDescent="0.2">
      <c r="H38" s="568" t="s">
        <v>169</v>
      </c>
      <c r="I38" s="569"/>
      <c r="J38" s="569"/>
    </row>
  </sheetData>
  <sheetProtection sheet="1" formatCells="0" formatColumns="0" formatRows="0" insertColumns="0" insertRows="0" insertHyperlinks="0" deleteColumns="0" deleteRows="0" pivotTables="0"/>
  <mergeCells count="32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B9:J9"/>
    <mergeCell ref="B13:C13"/>
    <mergeCell ref="B14:C14"/>
    <mergeCell ref="B15:C15"/>
    <mergeCell ref="B16:C16"/>
    <mergeCell ref="K26:N26"/>
    <mergeCell ref="K28:N36"/>
    <mergeCell ref="H38:J38"/>
    <mergeCell ref="B17:C17"/>
    <mergeCell ref="B21:C21"/>
    <mergeCell ref="B22:C22"/>
    <mergeCell ref="B23:C23"/>
    <mergeCell ref="B24:C24"/>
    <mergeCell ref="B26:E26"/>
    <mergeCell ref="B19:C19"/>
    <mergeCell ref="B20:C20"/>
    <mergeCell ref="B18:C18"/>
  </mergeCells>
  <conditionalFormatting sqref="D13:I20">
    <cfRule type="cellIs" dxfId="52" priority="1" operator="between">
      <formula>0</formula>
      <formula>2.7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6F3E-631F-4EF5-9414-163E839D9E87}">
  <sheetPr>
    <tabColor theme="9" tint="-0.499984740745262"/>
    <pageSetUpPr fitToPage="1"/>
  </sheetPr>
  <dimension ref="B2:N37"/>
  <sheetViews>
    <sheetView showGridLines="0" topLeftCell="A13" zoomScale="77" zoomScaleNormal="77" workbookViewId="0">
      <selection activeCell="J17" sqref="J1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12.42578125" customWidth="1"/>
    <col min="11" max="11" width="36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68" t="e">
        <f>#REF!</f>
        <v>#REF!</v>
      </c>
      <c r="I4" s="611"/>
      <c r="J4" s="612"/>
    </row>
    <row r="5" spans="2:10" ht="22.5" customHeight="1" x14ac:dyDescent="0.2">
      <c r="B5" s="572" t="s">
        <v>210</v>
      </c>
      <c r="C5" s="574"/>
      <c r="D5" s="707" t="e">
        <f>#REF!</f>
        <v>#REF!</v>
      </c>
      <c r="E5" s="658"/>
      <c r="F5" s="687" t="s">
        <v>211</v>
      </c>
      <c r="G5" s="573"/>
      <c r="H5" s="688" t="s">
        <v>212</v>
      </c>
      <c r="I5" s="689"/>
      <c r="J5" s="708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3"/>
      <c r="H6" s="10" t="e">
        <f>#REF!</f>
        <v>#REF!</v>
      </c>
      <c r="I6" s="37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17"/>
      <c r="I7" s="617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98" t="s">
        <v>218</v>
      </c>
      <c r="E12" s="98" t="s">
        <v>219</v>
      </c>
      <c r="F12" s="98" t="s">
        <v>220</v>
      </c>
      <c r="G12" s="98" t="s">
        <v>221</v>
      </c>
      <c r="H12" s="98" t="s">
        <v>222</v>
      </c>
      <c r="I12" s="98" t="s">
        <v>223</v>
      </c>
      <c r="J12" s="379"/>
    </row>
    <row r="13" spans="2:10" ht="51.75" customHeight="1" x14ac:dyDescent="0.2">
      <c r="B13" s="667" t="s">
        <v>306</v>
      </c>
      <c r="C13" s="667"/>
      <c r="D13" s="94">
        <f>(3.64+3.45)/2</f>
        <v>3.5449999999999999</v>
      </c>
      <c r="E13" s="42">
        <v>3.3</v>
      </c>
      <c r="F13" s="95" t="s">
        <v>290</v>
      </c>
      <c r="G13" s="95" t="s">
        <v>290</v>
      </c>
      <c r="H13" s="95">
        <v>3.89</v>
      </c>
      <c r="I13" s="95">
        <v>3.49</v>
      </c>
    </row>
    <row r="14" spans="2:10" ht="29.25" customHeight="1" x14ac:dyDescent="0.2">
      <c r="B14" s="667" t="s">
        <v>292</v>
      </c>
      <c r="C14" s="667"/>
      <c r="D14" s="94">
        <f>(3.44+3)/2</f>
        <v>3.2199999999999998</v>
      </c>
      <c r="E14" s="42">
        <v>3.47</v>
      </c>
      <c r="F14" s="95">
        <v>3.64</v>
      </c>
      <c r="G14" s="95">
        <v>3.64</v>
      </c>
      <c r="H14" s="95">
        <v>3.83</v>
      </c>
      <c r="I14" s="95">
        <v>3.8</v>
      </c>
    </row>
    <row r="15" spans="2:10" ht="29.25" customHeight="1" x14ac:dyDescent="0.2">
      <c r="B15" s="667" t="s">
        <v>293</v>
      </c>
      <c r="C15" s="667"/>
      <c r="D15" s="95">
        <v>4</v>
      </c>
      <c r="E15" s="42">
        <v>3.61</v>
      </c>
      <c r="F15" s="95">
        <f>(3.85+3.67)/2</f>
        <v>3.76</v>
      </c>
      <c r="G15" s="95">
        <f>(4+3.75)/2</f>
        <v>3.875</v>
      </c>
      <c r="H15" s="95">
        <v>3.72</v>
      </c>
      <c r="I15" s="95">
        <v>3.72</v>
      </c>
    </row>
    <row r="16" spans="2:10" ht="48.75" customHeight="1" x14ac:dyDescent="0.2">
      <c r="B16" s="667" t="s">
        <v>294</v>
      </c>
      <c r="C16" s="667"/>
      <c r="D16" s="94">
        <v>3.21</v>
      </c>
      <c r="E16" s="42">
        <v>3.52</v>
      </c>
      <c r="F16" s="95">
        <v>3.39</v>
      </c>
      <c r="G16" s="95">
        <v>2.86</v>
      </c>
      <c r="H16" s="95" t="s">
        <v>231</v>
      </c>
      <c r="I16" s="95" t="s">
        <v>231</v>
      </c>
    </row>
    <row r="17" spans="2:14" ht="55.5" customHeight="1" x14ac:dyDescent="0.2">
      <c r="B17" s="667" t="s">
        <v>295</v>
      </c>
      <c r="C17" s="667"/>
      <c r="D17" s="95" t="s">
        <v>231</v>
      </c>
      <c r="E17" s="42">
        <v>3.5</v>
      </c>
      <c r="F17" s="95" t="s">
        <v>290</v>
      </c>
      <c r="G17" s="95" t="s">
        <v>290</v>
      </c>
      <c r="H17" s="95">
        <v>3.05</v>
      </c>
      <c r="I17" s="95">
        <v>3.46</v>
      </c>
      <c r="K17" s="16"/>
    </row>
    <row r="18" spans="2:14" ht="45.75" customHeight="1" x14ac:dyDescent="0.2">
      <c r="B18" s="667" t="s">
        <v>296</v>
      </c>
      <c r="C18" s="667"/>
      <c r="D18" s="95" t="s">
        <v>231</v>
      </c>
      <c r="E18" s="42">
        <v>3.38</v>
      </c>
      <c r="F18" s="95" t="s">
        <v>290</v>
      </c>
      <c r="G18" s="95" t="s">
        <v>290</v>
      </c>
      <c r="H18" s="95" t="s">
        <v>231</v>
      </c>
      <c r="I18" s="95">
        <v>3.5</v>
      </c>
      <c r="J18" s="7"/>
      <c r="K18" s="21"/>
    </row>
    <row r="19" spans="2:14" ht="56.25" customHeight="1" x14ac:dyDescent="0.2">
      <c r="B19" s="667" t="s">
        <v>297</v>
      </c>
      <c r="C19" s="667"/>
      <c r="D19" s="95">
        <v>2.5</v>
      </c>
      <c r="E19" s="42">
        <v>3.44</v>
      </c>
      <c r="F19" s="95" t="s">
        <v>290</v>
      </c>
      <c r="G19" s="95" t="s">
        <v>290</v>
      </c>
      <c r="H19" s="95" t="s">
        <v>231</v>
      </c>
      <c r="I19" s="95">
        <v>3.88</v>
      </c>
      <c r="K19" s="16"/>
    </row>
    <row r="20" spans="2:14" ht="22.5" customHeight="1" x14ac:dyDescent="0.2">
      <c r="B20" s="642" t="e">
        <f>D5</f>
        <v>#REF!</v>
      </c>
      <c r="C20" s="642"/>
      <c r="D20" s="49">
        <f>COUNTIF(D13:D19,"&gt;=3")</f>
        <v>4</v>
      </c>
      <c r="E20" s="49">
        <f t="shared" ref="E20:G20" si="0">COUNTIF(E13:E19,"&gt;=3")</f>
        <v>7</v>
      </c>
      <c r="F20" s="49">
        <f t="shared" si="0"/>
        <v>3</v>
      </c>
      <c r="G20" s="49">
        <f t="shared" si="0"/>
        <v>2</v>
      </c>
      <c r="H20" s="49">
        <f>COUNTIF(H13:H19,"&gt;=3")</f>
        <v>4</v>
      </c>
      <c r="I20" s="49">
        <f>COUNTIF(I13:I19,"&gt;=3")</f>
        <v>6</v>
      </c>
    </row>
    <row r="21" spans="2:14" ht="22.5" customHeight="1" x14ac:dyDescent="0.2">
      <c r="B21" s="644" t="s">
        <v>268</v>
      </c>
      <c r="C21" s="644"/>
      <c r="D21" s="49">
        <f>COUNT(D13:D19)</f>
        <v>5</v>
      </c>
      <c r="E21" s="49">
        <f>COUNT(E13:E19)</f>
        <v>7</v>
      </c>
      <c r="F21" s="49">
        <f>COUNT(F13:F19)</f>
        <v>3</v>
      </c>
      <c r="G21" s="49">
        <f>COUNT(G13:G18)</f>
        <v>3</v>
      </c>
      <c r="H21" s="49">
        <f>COUNT(H13:H19)</f>
        <v>4</v>
      </c>
      <c r="I21" s="49">
        <f>COUNT(I13:I19)</f>
        <v>6</v>
      </c>
    </row>
    <row r="22" spans="2:14" ht="22.5" customHeight="1" x14ac:dyDescent="0.2">
      <c r="B22" s="640" t="s">
        <v>225</v>
      </c>
      <c r="C22" s="706"/>
      <c r="D22" s="60">
        <v>3</v>
      </c>
      <c r="E22" s="60">
        <v>3</v>
      </c>
      <c r="F22" s="60">
        <v>3</v>
      </c>
      <c r="G22" s="60">
        <v>3</v>
      </c>
      <c r="H22" s="60">
        <v>3</v>
      </c>
      <c r="I22" s="60">
        <v>3</v>
      </c>
      <c r="K22" s="23"/>
    </row>
    <row r="23" spans="2:14" ht="22.5" customHeight="1" x14ac:dyDescent="0.2">
      <c r="B23" s="640" t="s">
        <v>226</v>
      </c>
      <c r="C23" s="706"/>
      <c r="D23" s="487">
        <f t="shared" ref="D23:I23" si="1">D20/D21</f>
        <v>0.8</v>
      </c>
      <c r="E23" s="487">
        <f t="shared" si="1"/>
        <v>1</v>
      </c>
      <c r="F23" s="487">
        <f t="shared" si="1"/>
        <v>1</v>
      </c>
      <c r="G23" s="487">
        <f t="shared" si="1"/>
        <v>0.66666666666666663</v>
      </c>
      <c r="H23" s="487">
        <f t="shared" si="1"/>
        <v>1</v>
      </c>
      <c r="I23" s="487">
        <f t="shared" si="1"/>
        <v>1</v>
      </c>
      <c r="K23" s="47"/>
    </row>
    <row r="24" spans="2:14" ht="22.5" customHeight="1" x14ac:dyDescent="0.25">
      <c r="B24" s="5"/>
      <c r="C24" s="5"/>
      <c r="D24" s="4"/>
      <c r="E24" s="4"/>
      <c r="F24" s="4"/>
      <c r="G24" s="4"/>
      <c r="H24" s="4"/>
      <c r="I24" s="4"/>
      <c r="K24" s="68" t="s">
        <v>228</v>
      </c>
      <c r="L24" s="142"/>
      <c r="M24" s="142"/>
      <c r="N24" s="141"/>
    </row>
    <row r="25" spans="2:14" ht="22.5" customHeight="1" x14ac:dyDescent="0.2">
      <c r="B25" s="572" t="s">
        <v>227</v>
      </c>
      <c r="C25" s="573"/>
      <c r="D25" s="573"/>
      <c r="E25" s="574"/>
      <c r="F25" s="6"/>
      <c r="K25" s="7"/>
      <c r="L25" s="7"/>
      <c r="M25" s="7"/>
    </row>
    <row r="26" spans="2:14" ht="51.75" customHeight="1" x14ac:dyDescent="0.2">
      <c r="B26" s="6"/>
      <c r="C26" s="6"/>
      <c r="D26" s="6"/>
      <c r="E26" s="6"/>
      <c r="F26" s="6"/>
      <c r="K26" s="709" t="s">
        <v>307</v>
      </c>
      <c r="L26" s="709"/>
      <c r="M26" s="709"/>
      <c r="N26" s="710"/>
    </row>
    <row r="27" spans="2:14" ht="6" customHeight="1" x14ac:dyDescent="0.2">
      <c r="B27" s="6"/>
      <c r="C27" s="6"/>
      <c r="D27" s="6"/>
      <c r="E27" s="6"/>
      <c r="F27" s="6"/>
      <c r="K27" s="711"/>
      <c r="L27" s="711"/>
      <c r="M27" s="711"/>
      <c r="N27" s="712"/>
    </row>
    <row r="28" spans="2:14" ht="19.5" customHeight="1" x14ac:dyDescent="0.2">
      <c r="B28" s="6"/>
      <c r="C28" s="6"/>
      <c r="D28" s="6"/>
      <c r="E28" s="6"/>
      <c r="F28" s="6"/>
      <c r="K28" s="711"/>
      <c r="L28" s="711"/>
      <c r="M28" s="711"/>
      <c r="N28" s="712"/>
    </row>
    <row r="29" spans="2:14" ht="19.5" customHeight="1" x14ac:dyDescent="0.2">
      <c r="B29" s="6"/>
      <c r="C29" s="6"/>
      <c r="D29" s="6"/>
      <c r="E29" s="6"/>
      <c r="F29" s="6"/>
      <c r="K29" s="711"/>
      <c r="L29" s="711"/>
      <c r="M29" s="711"/>
      <c r="N29" s="712"/>
    </row>
    <row r="30" spans="2:14" ht="19.5" customHeight="1" x14ac:dyDescent="0.2">
      <c r="B30" s="6"/>
      <c r="C30" s="6"/>
      <c r="D30" s="6"/>
      <c r="E30" s="6"/>
      <c r="F30" s="6"/>
      <c r="K30" s="711"/>
      <c r="L30" s="711"/>
      <c r="M30" s="711"/>
      <c r="N30" s="712"/>
    </row>
    <row r="31" spans="2:14" ht="19.5" customHeight="1" x14ac:dyDescent="0.2">
      <c r="B31" s="6"/>
      <c r="C31" s="6"/>
      <c r="D31" s="6"/>
      <c r="E31" s="6"/>
      <c r="F31" s="6"/>
      <c r="K31" s="711"/>
      <c r="L31" s="711"/>
      <c r="M31" s="711"/>
      <c r="N31" s="712"/>
    </row>
    <row r="32" spans="2:14" ht="19.5" customHeight="1" x14ac:dyDescent="0.2">
      <c r="B32" s="6"/>
      <c r="C32" s="6"/>
      <c r="D32" s="6"/>
      <c r="E32" s="6"/>
      <c r="F32" s="6"/>
      <c r="K32" s="711"/>
      <c r="L32" s="711"/>
      <c r="M32" s="711"/>
      <c r="N32" s="712"/>
    </row>
    <row r="33" spans="8:14" ht="19.5" customHeight="1" x14ac:dyDescent="0.2">
      <c r="K33" s="711"/>
      <c r="L33" s="711"/>
      <c r="M33" s="711"/>
      <c r="N33" s="712"/>
    </row>
    <row r="34" spans="8:14" ht="19.5" customHeight="1" x14ac:dyDescent="0.2">
      <c r="K34" s="713"/>
      <c r="L34" s="713"/>
      <c r="M34" s="713"/>
      <c r="N34" s="714"/>
    </row>
    <row r="35" spans="8:14" ht="19.5" customHeight="1" x14ac:dyDescent="0.2"/>
    <row r="36" spans="8:14" ht="19.5" customHeight="1" x14ac:dyDescent="0.2"/>
    <row r="37" spans="8:14" ht="19.5" customHeight="1" x14ac:dyDescent="0.2">
      <c r="H37" s="378" t="s">
        <v>169</v>
      </c>
    </row>
  </sheetData>
  <sheetProtection sheet="1" formatCells="0" formatColumns="0" formatRows="0" insertColumns="0" insertRows="0" insertHyperlinks="0" deleteColumns="0" deleteRows="0" pivotTables="0"/>
  <mergeCells count="29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K26:N34"/>
    <mergeCell ref="B23:C23"/>
    <mergeCell ref="B25:E25"/>
    <mergeCell ref="B9:J9"/>
    <mergeCell ref="B7:C7"/>
    <mergeCell ref="D7:J7"/>
    <mergeCell ref="B22:C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conditionalFormatting sqref="D13:I19">
    <cfRule type="cellIs" dxfId="51" priority="1" operator="between">
      <formula>0</formula>
      <formula>2.7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A62B-3031-4709-8D83-8C8EF6A8D478}">
  <sheetPr>
    <tabColor theme="9" tint="-0.499984740745262"/>
    <pageSetUpPr fitToPage="1"/>
  </sheetPr>
  <dimension ref="B2:J28"/>
  <sheetViews>
    <sheetView showGridLines="0" topLeftCell="A3" workbookViewId="0">
      <selection activeCell="L15" sqref="L15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0" ht="55.5" customHeight="1" x14ac:dyDescent="0.25">
      <c r="B2" s="543"/>
      <c r="C2" s="544"/>
      <c r="D2" s="545"/>
      <c r="E2" s="546" t="s">
        <v>207</v>
      </c>
      <c r="F2" s="544"/>
      <c r="G2" s="544"/>
      <c r="H2" s="544"/>
      <c r="I2" s="544"/>
      <c r="J2" s="545"/>
    </row>
    <row r="3" spans="2:10" ht="22.5" customHeight="1" x14ac:dyDescent="0.25">
      <c r="B3" s="281"/>
      <c r="C3" s="281"/>
      <c r="D3" s="282"/>
      <c r="E3" s="282"/>
      <c r="F3" s="282"/>
      <c r="G3" s="282"/>
      <c r="H3" s="282"/>
      <c r="I3" s="282"/>
      <c r="J3" s="279"/>
    </row>
    <row r="4" spans="2:10" ht="42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48"/>
      <c r="H4" s="549" t="e">
        <f>#REF!</f>
        <v>#REF!</v>
      </c>
      <c r="I4" s="544"/>
      <c r="J4" s="545"/>
    </row>
    <row r="5" spans="2:10" ht="22.5" customHeight="1" x14ac:dyDescent="0.25">
      <c r="B5" s="547" t="s">
        <v>210</v>
      </c>
      <c r="C5" s="548"/>
      <c r="D5" s="550" t="e">
        <f>#REF!</f>
        <v>#REF!</v>
      </c>
      <c r="E5" s="551"/>
      <c r="F5" s="552" t="s">
        <v>211</v>
      </c>
      <c r="G5" s="548"/>
      <c r="H5" s="553" t="s">
        <v>212</v>
      </c>
      <c r="I5" s="554"/>
      <c r="J5" s="555"/>
    </row>
    <row r="6" spans="2:10" ht="22.5" customHeight="1" x14ac:dyDescent="0.25">
      <c r="B6" s="547" t="s">
        <v>213</v>
      </c>
      <c r="C6" s="548"/>
      <c r="D6" s="549" t="s">
        <v>214</v>
      </c>
      <c r="E6" s="545"/>
      <c r="F6" s="547" t="s">
        <v>215</v>
      </c>
      <c r="G6" s="556"/>
      <c r="H6" s="283" t="e">
        <f>#REF!</f>
        <v>#REF!</v>
      </c>
      <c r="I6" s="284"/>
      <c r="J6" s="285"/>
    </row>
    <row r="7" spans="2:10" ht="22.5" customHeight="1" x14ac:dyDescent="0.25">
      <c r="B7" s="547" t="s">
        <v>216</v>
      </c>
      <c r="C7" s="548"/>
      <c r="D7" s="549" t="e">
        <f>#REF!</f>
        <v>#REF!</v>
      </c>
      <c r="E7" s="544"/>
      <c r="F7" s="544"/>
      <c r="G7" s="544"/>
      <c r="H7" s="557"/>
      <c r="I7" s="557"/>
      <c r="J7" s="558"/>
    </row>
    <row r="8" spans="2:10" ht="7.5" customHeight="1" x14ac:dyDescent="0.25">
      <c r="B8" s="279"/>
      <c r="C8" s="279"/>
      <c r="D8" s="279"/>
      <c r="E8" s="279"/>
      <c r="F8" s="279"/>
      <c r="G8" s="279"/>
      <c r="H8" s="279"/>
      <c r="I8" s="279"/>
      <c r="J8" s="279"/>
    </row>
    <row r="9" spans="2:10" ht="22.5" customHeight="1" x14ac:dyDescent="0.25">
      <c r="B9" s="547" t="s">
        <v>217</v>
      </c>
      <c r="C9" s="556"/>
      <c r="D9" s="556"/>
      <c r="E9" s="556"/>
      <c r="F9" s="556"/>
      <c r="G9" s="556"/>
      <c r="H9" s="556"/>
      <c r="I9" s="556"/>
      <c r="J9" s="548"/>
    </row>
    <row r="10" spans="2:10" ht="22.5" customHeight="1" x14ac:dyDescent="0.25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0" ht="22.5" customHeight="1" x14ac:dyDescent="0.25">
      <c r="B11" s="286"/>
      <c r="C11" s="286"/>
      <c r="D11" s="287" t="s">
        <v>218</v>
      </c>
      <c r="E11" s="287" t="s">
        <v>219</v>
      </c>
      <c r="F11" s="287" t="s">
        <v>220</v>
      </c>
      <c r="G11" s="287" t="s">
        <v>221</v>
      </c>
      <c r="H11" s="287" t="s">
        <v>222</v>
      </c>
      <c r="I11" s="287" t="s">
        <v>223</v>
      </c>
      <c r="J11" s="279"/>
    </row>
    <row r="12" spans="2:10" ht="23.25" customHeight="1" x14ac:dyDescent="0.25">
      <c r="B12" s="570" t="s">
        <v>224</v>
      </c>
      <c r="C12" s="545"/>
      <c r="D12" s="288">
        <v>0.44</v>
      </c>
      <c r="E12" s="288">
        <v>0.57999999999999996</v>
      </c>
      <c r="F12" s="288">
        <v>0.53</v>
      </c>
      <c r="G12" s="288">
        <v>0.32</v>
      </c>
      <c r="H12" s="288">
        <v>0.88260000000000005</v>
      </c>
      <c r="I12" s="288">
        <v>0.81310000000000004</v>
      </c>
      <c r="J12" s="279"/>
    </row>
    <row r="13" spans="2:10" ht="22.5" customHeight="1" x14ac:dyDescent="0.25">
      <c r="B13" s="571" t="s">
        <v>225</v>
      </c>
      <c r="C13" s="545"/>
      <c r="D13" s="288">
        <v>0.8</v>
      </c>
      <c r="E13" s="288">
        <v>0.8</v>
      </c>
      <c r="F13" s="288">
        <v>0.8</v>
      </c>
      <c r="G13" s="288">
        <v>0.8</v>
      </c>
      <c r="H13" s="288">
        <v>0.8</v>
      </c>
      <c r="I13" s="288">
        <v>0.8</v>
      </c>
      <c r="J13" s="279"/>
    </row>
    <row r="14" spans="2:10" ht="22.5" customHeight="1" x14ac:dyDescent="0.25">
      <c r="B14" s="571" t="s">
        <v>226</v>
      </c>
      <c r="C14" s="545"/>
      <c r="D14" s="288">
        <f xml:space="preserve"> D12/D13</f>
        <v>0.54999999999999993</v>
      </c>
      <c r="E14" s="288">
        <f t="shared" ref="E14:G14" si="0" xml:space="preserve"> E12/E13</f>
        <v>0.72499999999999987</v>
      </c>
      <c r="F14" s="288">
        <f t="shared" si="0"/>
        <v>0.66249999999999998</v>
      </c>
      <c r="G14" s="288">
        <f t="shared" si="0"/>
        <v>0.39999999999999997</v>
      </c>
      <c r="H14" s="288">
        <f>COUNTIF(H12:H12,"&gt;=80%")</f>
        <v>1</v>
      </c>
      <c r="I14" s="288">
        <f>COUNTIF(I12:I12,"&gt;=80%")</f>
        <v>1</v>
      </c>
      <c r="J14" s="279"/>
    </row>
    <row r="15" spans="2:10" ht="9.75" customHeight="1" x14ac:dyDescent="0.25">
      <c r="B15" s="5"/>
      <c r="C15" s="5"/>
      <c r="D15" s="4"/>
      <c r="E15" s="4"/>
      <c r="F15" s="4"/>
      <c r="G15" s="4"/>
      <c r="H15" s="4"/>
      <c r="I15" s="4"/>
      <c r="J15" s="4"/>
    </row>
    <row r="16" spans="2:10" ht="22.5" customHeight="1" x14ac:dyDescent="0.2">
      <c r="B16" s="572" t="s">
        <v>227</v>
      </c>
      <c r="C16" s="573"/>
      <c r="D16" s="573"/>
      <c r="E16" s="574"/>
      <c r="F16" s="6"/>
      <c r="G16" s="572" t="s">
        <v>228</v>
      </c>
      <c r="H16" s="573"/>
      <c r="I16" s="573"/>
      <c r="J16" s="574"/>
    </row>
    <row r="18" spans="7:10" ht="22.5" customHeight="1" x14ac:dyDescent="0.2">
      <c r="G18" s="559" t="s">
        <v>169</v>
      </c>
      <c r="H18" s="560"/>
      <c r="I18" s="560"/>
      <c r="J18" s="561"/>
    </row>
    <row r="19" spans="7:10" ht="22.5" customHeight="1" x14ac:dyDescent="0.2">
      <c r="G19" s="562"/>
      <c r="H19" s="563"/>
      <c r="I19" s="563"/>
      <c r="J19" s="564"/>
    </row>
    <row r="20" spans="7:10" ht="22.5" customHeight="1" x14ac:dyDescent="0.2">
      <c r="G20" s="562"/>
      <c r="H20" s="563"/>
      <c r="I20" s="563"/>
      <c r="J20" s="564"/>
    </row>
    <row r="21" spans="7:10" ht="22.5" customHeight="1" x14ac:dyDescent="0.2">
      <c r="G21" s="562"/>
      <c r="H21" s="563"/>
      <c r="I21" s="563"/>
      <c r="J21" s="564"/>
    </row>
    <row r="22" spans="7:10" ht="22.5" customHeight="1" x14ac:dyDescent="0.2">
      <c r="G22" s="562"/>
      <c r="H22" s="563"/>
      <c r="I22" s="563"/>
      <c r="J22" s="564"/>
    </row>
    <row r="23" spans="7:10" ht="22.5" customHeight="1" x14ac:dyDescent="0.2">
      <c r="G23" s="562"/>
      <c r="H23" s="563"/>
      <c r="I23" s="563"/>
      <c r="J23" s="564"/>
    </row>
    <row r="24" spans="7:10" ht="22.5" customHeight="1" x14ac:dyDescent="0.2">
      <c r="G24" s="562"/>
      <c r="H24" s="563"/>
      <c r="I24" s="563"/>
      <c r="J24" s="564"/>
    </row>
    <row r="25" spans="7:10" ht="22.5" customHeight="1" x14ac:dyDescent="0.2">
      <c r="G25" s="562"/>
      <c r="H25" s="563"/>
      <c r="I25" s="563"/>
      <c r="J25" s="564"/>
    </row>
    <row r="26" spans="7:10" ht="22.5" customHeight="1" x14ac:dyDescent="0.2">
      <c r="G26" s="565"/>
      <c r="H26" s="566"/>
      <c r="I26" s="566"/>
      <c r="J26" s="567"/>
    </row>
    <row r="27" spans="7:10" ht="6" customHeight="1" x14ac:dyDescent="0.2"/>
    <row r="28" spans="7:10" ht="19.5" customHeight="1" x14ac:dyDescent="0.2">
      <c r="H28" s="568" t="s">
        <v>169</v>
      </c>
      <c r="I28" s="569"/>
      <c r="J28" s="569"/>
    </row>
  </sheetData>
  <sheetProtection formatCells="0" formatColumns="0" formatRows="0" insertColumns="0" insertRows="0" insertHyperlinks="0" deleteColumns="0" deleteRows="0" pivotTables="0"/>
  <mergeCells count="23">
    <mergeCell ref="B7:C7"/>
    <mergeCell ref="D7:J7"/>
    <mergeCell ref="G18:J26"/>
    <mergeCell ref="H28:J28"/>
    <mergeCell ref="B9:J9"/>
    <mergeCell ref="B12:C12"/>
    <mergeCell ref="B13:C13"/>
    <mergeCell ref="B14:C14"/>
    <mergeCell ref="B16:E16"/>
    <mergeCell ref="G16:J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9D1C-55CF-496F-8F5B-B3D0A68B47FB}">
  <sheetPr>
    <tabColor theme="9" tint="-0.499984740745262"/>
  </sheetPr>
  <dimension ref="A2:K36"/>
  <sheetViews>
    <sheetView topLeftCell="A21" workbookViewId="0">
      <selection activeCell="G24" sqref="G24"/>
    </sheetView>
  </sheetViews>
  <sheetFormatPr defaultColWidth="9.140625" defaultRowHeight="12.75" x14ac:dyDescent="0.2"/>
  <cols>
    <col min="1" max="1" width="19.5703125" customWidth="1"/>
    <col min="2" max="2" width="12.5703125" customWidth="1"/>
    <col min="3" max="3" width="12.85546875" customWidth="1"/>
    <col min="4" max="4" width="15" customWidth="1"/>
    <col min="5" max="5" width="13.7109375" customWidth="1"/>
    <col min="6" max="6" width="11.5703125" customWidth="1"/>
    <col min="9" max="9" width="20.85546875" customWidth="1"/>
  </cols>
  <sheetData>
    <row r="2" spans="1:9" ht="57" customHeight="1" x14ac:dyDescent="0.2">
      <c r="A2" s="659"/>
      <c r="B2" s="650"/>
      <c r="C2" s="658"/>
      <c r="D2" s="660" t="s">
        <v>207</v>
      </c>
      <c r="E2" s="650"/>
      <c r="F2" s="650"/>
      <c r="G2" s="650"/>
      <c r="H2" s="650"/>
      <c r="I2" s="658"/>
    </row>
    <row r="3" spans="1:9" ht="14.25" x14ac:dyDescent="0.2">
      <c r="A3" s="44"/>
      <c r="B3" s="44"/>
      <c r="C3" s="45"/>
      <c r="D3" s="45"/>
      <c r="E3" s="45"/>
      <c r="F3" s="45"/>
      <c r="G3" s="45"/>
      <c r="H3" s="45"/>
    </row>
    <row r="4" spans="1:9" ht="41.25" customHeight="1" x14ac:dyDescent="0.2">
      <c r="A4" s="572" t="s">
        <v>208</v>
      </c>
      <c r="B4" s="574"/>
      <c r="C4" s="649" t="e">
        <f>#REF!</f>
        <v>#REF!</v>
      </c>
      <c r="D4" s="658"/>
      <c r="E4" s="572" t="s">
        <v>209</v>
      </c>
      <c r="F4" s="574"/>
      <c r="G4" s="668" t="e">
        <f>#REF!</f>
        <v>#REF!</v>
      </c>
      <c r="H4" s="611"/>
      <c r="I4" s="612"/>
    </row>
    <row r="5" spans="1:9" x14ac:dyDescent="0.2">
      <c r="A5" s="572" t="s">
        <v>210</v>
      </c>
      <c r="B5" s="574"/>
      <c r="C5" s="707" t="e">
        <f>#REF!</f>
        <v>#REF!</v>
      </c>
      <c r="D5" s="658"/>
      <c r="E5" s="687" t="s">
        <v>211</v>
      </c>
      <c r="F5" s="573"/>
      <c r="G5" s="688" t="s">
        <v>230</v>
      </c>
      <c r="H5" s="689"/>
      <c r="I5" s="708"/>
    </row>
    <row r="6" spans="1:9" x14ac:dyDescent="0.2">
      <c r="A6" s="572" t="s">
        <v>213</v>
      </c>
      <c r="B6" s="574"/>
      <c r="C6" s="649" t="s">
        <v>214</v>
      </c>
      <c r="D6" s="658"/>
      <c r="E6" s="572" t="s">
        <v>236</v>
      </c>
      <c r="F6" s="573"/>
      <c r="G6" s="10" t="e">
        <f>#REF!</f>
        <v>#REF!</v>
      </c>
      <c r="H6" s="37"/>
      <c r="I6" s="17"/>
    </row>
    <row r="7" spans="1:9" x14ac:dyDescent="0.2">
      <c r="A7" s="572" t="s">
        <v>216</v>
      </c>
      <c r="B7" s="574"/>
      <c r="C7" s="707" t="e">
        <f>#REF!</f>
        <v>#REF!</v>
      </c>
      <c r="D7" s="650"/>
      <c r="E7" s="650"/>
      <c r="F7" s="650"/>
      <c r="G7" s="617"/>
      <c r="H7" s="617"/>
      <c r="I7" s="618"/>
    </row>
    <row r="9" spans="1:9" x14ac:dyDescent="0.2">
      <c r="A9" s="572" t="s">
        <v>217</v>
      </c>
      <c r="B9" s="573"/>
      <c r="C9" s="573"/>
      <c r="D9" s="573"/>
      <c r="E9" s="573"/>
      <c r="F9" s="573"/>
      <c r="G9" s="573"/>
      <c r="H9" s="573"/>
      <c r="I9" s="574"/>
    </row>
    <row r="12" spans="1:9" ht="13.5" x14ac:dyDescent="0.2">
      <c r="A12" s="203"/>
      <c r="B12" s="89" t="s">
        <v>219</v>
      </c>
      <c r="C12" s="89" t="s">
        <v>220</v>
      </c>
      <c r="D12" s="89" t="s">
        <v>221</v>
      </c>
      <c r="E12" s="89" t="s">
        <v>222</v>
      </c>
      <c r="F12" s="89" t="s">
        <v>223</v>
      </c>
    </row>
    <row r="13" spans="1:9" ht="72" thickBot="1" x14ac:dyDescent="0.25">
      <c r="A13" s="29" t="s">
        <v>261</v>
      </c>
      <c r="B13" s="29">
        <v>14</v>
      </c>
      <c r="C13" s="29">
        <v>14</v>
      </c>
      <c r="D13" s="29">
        <v>16</v>
      </c>
      <c r="E13" s="29">
        <v>15</v>
      </c>
      <c r="F13" s="411">
        <v>16</v>
      </c>
    </row>
    <row r="14" spans="1:9" ht="43.5" thickBot="1" x14ac:dyDescent="0.25">
      <c r="A14" s="29" t="s">
        <v>274</v>
      </c>
      <c r="B14" s="29">
        <v>15</v>
      </c>
      <c r="C14" s="29">
        <v>15</v>
      </c>
      <c r="D14" s="29">
        <v>14</v>
      </c>
      <c r="E14" s="29">
        <v>15</v>
      </c>
      <c r="F14" s="411">
        <v>15</v>
      </c>
    </row>
    <row r="15" spans="1:9" ht="43.5" thickBot="1" x14ac:dyDescent="0.25">
      <c r="A15" s="29" t="s">
        <v>308</v>
      </c>
      <c r="B15" s="29">
        <v>0</v>
      </c>
      <c r="C15" s="29">
        <v>0</v>
      </c>
      <c r="D15" s="29">
        <v>0</v>
      </c>
      <c r="E15" s="29">
        <v>0</v>
      </c>
      <c r="F15" s="411">
        <v>0</v>
      </c>
    </row>
    <row r="16" spans="1:9" ht="43.5" thickBot="1" x14ac:dyDescent="0.25">
      <c r="A16" s="29" t="s">
        <v>309</v>
      </c>
      <c r="B16" s="29">
        <v>11</v>
      </c>
      <c r="C16" s="29">
        <v>13</v>
      </c>
      <c r="D16" s="29">
        <v>12</v>
      </c>
      <c r="E16" s="29">
        <v>12</v>
      </c>
      <c r="F16" s="411">
        <v>12</v>
      </c>
    </row>
    <row r="17" spans="1:11" ht="43.5" thickBot="1" x14ac:dyDescent="0.25">
      <c r="A17" s="29" t="s">
        <v>277</v>
      </c>
      <c r="B17" s="29">
        <v>15</v>
      </c>
      <c r="C17" s="29">
        <v>13</v>
      </c>
      <c r="D17" s="29">
        <v>16</v>
      </c>
      <c r="E17" s="29">
        <v>16</v>
      </c>
      <c r="F17" s="411">
        <v>9</v>
      </c>
    </row>
    <row r="18" spans="1:11" ht="29.25" thickBot="1" x14ac:dyDescent="0.25">
      <c r="A18" s="29" t="s">
        <v>265</v>
      </c>
      <c r="B18" s="29" t="s">
        <v>310</v>
      </c>
      <c r="C18" s="29">
        <v>5</v>
      </c>
      <c r="D18" s="29">
        <v>4</v>
      </c>
      <c r="E18" s="29" t="s">
        <v>311</v>
      </c>
      <c r="F18" s="411">
        <v>3</v>
      </c>
    </row>
    <row r="19" spans="1:11" ht="43.5" thickBot="1" x14ac:dyDescent="0.25">
      <c r="A19" s="29" t="s">
        <v>279</v>
      </c>
      <c r="B19" s="29">
        <v>8</v>
      </c>
      <c r="C19" s="29">
        <v>8</v>
      </c>
      <c r="D19" s="29">
        <v>6</v>
      </c>
      <c r="E19" s="29">
        <v>8</v>
      </c>
      <c r="F19" s="411">
        <v>8</v>
      </c>
    </row>
    <row r="20" spans="1:11" ht="14.25" x14ac:dyDescent="0.2">
      <c r="A20" s="29" t="s">
        <v>312</v>
      </c>
      <c r="B20" s="29">
        <f>SUM(B13:B19)</f>
        <v>63</v>
      </c>
      <c r="C20" s="29">
        <f>SUM(C13:C19)</f>
        <v>68</v>
      </c>
      <c r="D20" s="29">
        <f>SUM(D13:D19)</f>
        <v>68</v>
      </c>
      <c r="E20" s="29">
        <f>SUM(E13:E19)</f>
        <v>66</v>
      </c>
      <c r="F20" s="29">
        <f>SUM(F13:F19)</f>
        <v>63</v>
      </c>
    </row>
    <row r="21" spans="1:11" ht="14.25" x14ac:dyDescent="0.2">
      <c r="A21" s="29" t="s">
        <v>313</v>
      </c>
      <c r="B21" s="29" t="s">
        <v>231</v>
      </c>
      <c r="C21" s="29">
        <v>63</v>
      </c>
      <c r="D21" s="29">
        <v>68</v>
      </c>
      <c r="E21" s="29">
        <v>64</v>
      </c>
      <c r="F21" s="29">
        <v>66</v>
      </c>
    </row>
    <row r="22" spans="1:11" ht="14.25" x14ac:dyDescent="0.2">
      <c r="A22" s="29" t="s">
        <v>314</v>
      </c>
      <c r="B22" s="55" t="s">
        <v>311</v>
      </c>
      <c r="C22" s="39">
        <f>(C20-C21)/C21</f>
        <v>7.9365079365079361E-2</v>
      </c>
      <c r="D22" s="39">
        <f t="shared" ref="D22:F22" si="0">(D20-D21)/D21</f>
        <v>0</v>
      </c>
      <c r="E22" s="39">
        <f>6.4%</f>
        <v>6.4000000000000001E-2</v>
      </c>
      <c r="F22" s="39">
        <f t="shared" si="0"/>
        <v>-4.5454545454545456E-2</v>
      </c>
    </row>
    <row r="23" spans="1:11" ht="28.5" x14ac:dyDescent="0.2">
      <c r="A23" s="29" t="s">
        <v>315</v>
      </c>
      <c r="B23" s="55">
        <v>0.05</v>
      </c>
      <c r="C23" s="55">
        <v>0.05</v>
      </c>
      <c r="D23" s="55">
        <v>0.05</v>
      </c>
      <c r="E23" s="55">
        <v>0.05</v>
      </c>
      <c r="F23" s="55">
        <v>0.05</v>
      </c>
    </row>
    <row r="24" spans="1:11" ht="14.25" x14ac:dyDescent="0.2">
      <c r="A24" s="70" t="s">
        <v>226</v>
      </c>
      <c r="B24" s="29" t="s">
        <v>231</v>
      </c>
      <c r="C24" s="55">
        <v>1</v>
      </c>
      <c r="D24" s="55">
        <f t="shared" ref="D24:F24" si="1">D22/D23</f>
        <v>0</v>
      </c>
      <c r="E24" s="55">
        <v>1</v>
      </c>
      <c r="F24" s="55">
        <f t="shared" si="1"/>
        <v>-0.90909090909090906</v>
      </c>
    </row>
    <row r="26" spans="1:11" x14ac:dyDescent="0.2">
      <c r="A26" s="572" t="s">
        <v>227</v>
      </c>
      <c r="B26" s="573"/>
      <c r="C26" s="573"/>
      <c r="D26" s="574"/>
      <c r="H26" s="572" t="s">
        <v>228</v>
      </c>
      <c r="I26" s="573"/>
      <c r="J26" s="573"/>
      <c r="K26" s="574"/>
    </row>
    <row r="27" spans="1:11" ht="15" x14ac:dyDescent="0.2">
      <c r="G27" s="7"/>
      <c r="H27" s="7"/>
      <c r="I27" s="7"/>
      <c r="J27" s="7"/>
    </row>
    <row r="28" spans="1:11" x14ac:dyDescent="0.2">
      <c r="H28" s="694" t="s">
        <v>316</v>
      </c>
      <c r="I28" s="656"/>
      <c r="J28" s="656"/>
      <c r="K28" s="657"/>
    </row>
    <row r="29" spans="1:11" x14ac:dyDescent="0.2">
      <c r="H29" s="695"/>
      <c r="I29" s="696"/>
      <c r="J29" s="696"/>
      <c r="K29" s="697"/>
    </row>
    <row r="30" spans="1:11" x14ac:dyDescent="0.2">
      <c r="H30" s="695"/>
      <c r="I30" s="696"/>
      <c r="J30" s="696"/>
      <c r="K30" s="697"/>
    </row>
    <row r="31" spans="1:11" x14ac:dyDescent="0.2">
      <c r="H31" s="695"/>
      <c r="I31" s="696"/>
      <c r="J31" s="696"/>
      <c r="K31" s="697"/>
    </row>
    <row r="32" spans="1:11" x14ac:dyDescent="0.2">
      <c r="H32" s="695"/>
      <c r="I32" s="696"/>
      <c r="J32" s="696"/>
      <c r="K32" s="697"/>
    </row>
    <row r="33" spans="8:11" x14ac:dyDescent="0.2">
      <c r="H33" s="695"/>
      <c r="I33" s="696"/>
      <c r="J33" s="696"/>
      <c r="K33" s="697"/>
    </row>
    <row r="34" spans="8:11" x14ac:dyDescent="0.2">
      <c r="H34" s="695"/>
      <c r="I34" s="696"/>
      <c r="J34" s="696"/>
      <c r="K34" s="697"/>
    </row>
    <row r="35" spans="8:11" x14ac:dyDescent="0.2">
      <c r="H35" s="695"/>
      <c r="I35" s="696"/>
      <c r="J35" s="696"/>
      <c r="K35" s="697"/>
    </row>
    <row r="36" spans="8:11" x14ac:dyDescent="0.2">
      <c r="H36" s="698"/>
      <c r="I36" s="699"/>
      <c r="J36" s="699"/>
      <c r="K36" s="700"/>
    </row>
  </sheetData>
  <sheetProtection sheet="1" formatCells="0" formatColumns="0" formatRows="0" insertColumns="0" insertRows="0" insertHyperlinks="0" deleteColumns="0" deleteRows="0" pivotTables="0"/>
  <mergeCells count="19">
    <mergeCell ref="A2:C2"/>
    <mergeCell ref="D2:I2"/>
    <mergeCell ref="A4:B4"/>
    <mergeCell ref="C4:D4"/>
    <mergeCell ref="E4:F4"/>
    <mergeCell ref="G4:I4"/>
    <mergeCell ref="A5:B5"/>
    <mergeCell ref="C5:D5"/>
    <mergeCell ref="E5:F5"/>
    <mergeCell ref="G5:I5"/>
    <mergeCell ref="A6:B6"/>
    <mergeCell ref="C6:D6"/>
    <mergeCell ref="E6:F6"/>
    <mergeCell ref="H28:K36"/>
    <mergeCell ref="A26:D26"/>
    <mergeCell ref="H26:K26"/>
    <mergeCell ref="A7:B7"/>
    <mergeCell ref="C7:I7"/>
    <mergeCell ref="A9:I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8762-FB49-43FE-95ED-AA53B86C9602}">
  <sheetPr>
    <tabColor theme="9" tint="-0.499984740745262"/>
    <pageSetUpPr fitToPage="1"/>
  </sheetPr>
  <dimension ref="B2:K31"/>
  <sheetViews>
    <sheetView showGridLines="0" topLeftCell="A22" workbookViewId="0">
      <selection activeCell="J26" sqref="J2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51.42578125" customWidth="1"/>
    <col min="12" max="21" width="7.5703125" customWidth="1"/>
  </cols>
  <sheetData>
    <row r="2" spans="2:11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  <c r="K2" s="1"/>
    </row>
    <row r="3" spans="2:11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1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715"/>
      <c r="J4" s="716"/>
    </row>
    <row r="5" spans="2:11" ht="22.5" customHeight="1" x14ac:dyDescent="0.2">
      <c r="B5" s="572" t="s">
        <v>317</v>
      </c>
      <c r="C5" s="574"/>
      <c r="D5" s="649" t="e">
        <f>#REF!</f>
        <v>#REF!</v>
      </c>
      <c r="E5" s="658"/>
      <c r="F5" s="653" t="s">
        <v>211</v>
      </c>
      <c r="G5" s="654"/>
      <c r="H5" s="718" t="s">
        <v>235</v>
      </c>
      <c r="I5" s="719"/>
      <c r="J5" s="720"/>
    </row>
    <row r="6" spans="2:11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2" t="e">
        <f>#REF!</f>
        <v>#REF!</v>
      </c>
      <c r="J6" s="103"/>
    </row>
    <row r="7" spans="2:11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1" ht="7.5" customHeight="1" x14ac:dyDescent="0.2"/>
    <row r="9" spans="2:11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1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1" ht="22.5" customHeight="1" x14ac:dyDescent="0.2"/>
    <row r="12" spans="2:11" ht="22.5" customHeight="1" x14ac:dyDescent="0.2">
      <c r="B12" s="14"/>
      <c r="C12" s="14"/>
      <c r="D12" s="98" t="s">
        <v>218</v>
      </c>
      <c r="E12" s="98" t="s">
        <v>219</v>
      </c>
      <c r="F12" s="98" t="s">
        <v>220</v>
      </c>
      <c r="G12" s="98" t="s">
        <v>221</v>
      </c>
      <c r="H12" s="98" t="s">
        <v>222</v>
      </c>
      <c r="I12" s="98" t="s">
        <v>223</v>
      </c>
      <c r="K12" s="22"/>
    </row>
    <row r="13" spans="2:11" ht="95.25" customHeight="1" x14ac:dyDescent="0.2">
      <c r="B13" s="667" t="s">
        <v>318</v>
      </c>
      <c r="C13" s="667"/>
      <c r="D13" s="95">
        <v>3.9</v>
      </c>
      <c r="E13" s="95">
        <v>3.95</v>
      </c>
      <c r="F13" s="95">
        <v>3.91</v>
      </c>
      <c r="G13" s="95">
        <v>3.7</v>
      </c>
      <c r="H13" s="34">
        <v>4.08</v>
      </c>
      <c r="I13" s="34" t="s">
        <v>254</v>
      </c>
    </row>
    <row r="14" spans="2:11" ht="22.5" customHeight="1" x14ac:dyDescent="0.25">
      <c r="B14" s="642" t="e">
        <f>D5</f>
        <v>#REF!</v>
      </c>
      <c r="C14" s="642"/>
      <c r="D14" s="51">
        <f>COUNTIF(D13:D13,"&gt;=3,5")</f>
        <v>1</v>
      </c>
      <c r="E14" s="51">
        <f t="shared" ref="E14:G14" si="0">COUNTIF(E13:E13,"&gt;=3,5")</f>
        <v>1</v>
      </c>
      <c r="F14" s="51">
        <f t="shared" si="0"/>
        <v>1</v>
      </c>
      <c r="G14" s="51">
        <f t="shared" si="0"/>
        <v>1</v>
      </c>
      <c r="H14" s="34" t="s">
        <v>319</v>
      </c>
      <c r="I14" s="34" t="s">
        <v>319</v>
      </c>
      <c r="J14" s="7"/>
      <c r="K14" s="347" t="s">
        <v>228</v>
      </c>
    </row>
    <row r="15" spans="2:11" ht="22.5" customHeight="1" x14ac:dyDescent="0.25">
      <c r="B15" s="644" t="s">
        <v>268</v>
      </c>
      <c r="C15" s="644"/>
      <c r="D15" s="51">
        <f>COUNT(D13:D13)</f>
        <v>1</v>
      </c>
      <c r="E15" s="51">
        <f>COUNT(E13:E13)</f>
        <v>1</v>
      </c>
      <c r="F15" s="51">
        <f>COUNT(F13:F13)</f>
        <v>1</v>
      </c>
      <c r="G15" s="51">
        <f>COUNT(G13:G13)</f>
        <v>1</v>
      </c>
      <c r="H15" s="34" t="s">
        <v>320</v>
      </c>
      <c r="I15" s="34" t="s">
        <v>320</v>
      </c>
    </row>
    <row r="16" spans="2:11" ht="22.5" customHeight="1" x14ac:dyDescent="0.2">
      <c r="B16" s="640" t="s">
        <v>225</v>
      </c>
      <c r="C16" s="706"/>
      <c r="D16" s="174">
        <v>3.5</v>
      </c>
      <c r="E16" s="174">
        <v>3.5</v>
      </c>
      <c r="F16" s="174">
        <v>3.5</v>
      </c>
      <c r="G16" s="174">
        <v>3.5</v>
      </c>
      <c r="H16" s="174">
        <v>3.5</v>
      </c>
      <c r="I16" s="174">
        <v>3.5</v>
      </c>
      <c r="K16" s="717" t="s">
        <v>321</v>
      </c>
    </row>
    <row r="17" spans="2:11" ht="22.5" customHeight="1" x14ac:dyDescent="0.2">
      <c r="B17" s="640" t="s">
        <v>226</v>
      </c>
      <c r="C17" s="706"/>
      <c r="D17" s="101">
        <f>D14/D15</f>
        <v>1</v>
      </c>
      <c r="E17" s="101">
        <f>E14/E15</f>
        <v>1</v>
      </c>
      <c r="F17" s="101">
        <f>F14/F15</f>
        <v>1</v>
      </c>
      <c r="G17" s="101">
        <f>G14/G15</f>
        <v>1</v>
      </c>
      <c r="H17" s="133">
        <v>1</v>
      </c>
      <c r="I17" s="133">
        <v>1</v>
      </c>
      <c r="K17" s="717"/>
    </row>
    <row r="18" spans="2:11" ht="22.5" customHeight="1" x14ac:dyDescent="0.25">
      <c r="B18" s="5"/>
      <c r="C18" s="5"/>
      <c r="D18" s="4"/>
      <c r="E18" s="4"/>
      <c r="F18" s="4"/>
      <c r="G18" s="4"/>
      <c r="H18" s="4"/>
      <c r="I18" s="4"/>
      <c r="K18" s="717"/>
    </row>
    <row r="19" spans="2:11" ht="22.5" customHeight="1" x14ac:dyDescent="0.2">
      <c r="B19" s="572" t="s">
        <v>227</v>
      </c>
      <c r="C19" s="573"/>
      <c r="D19" s="573"/>
      <c r="E19" s="574"/>
      <c r="F19" s="6"/>
      <c r="K19" s="717"/>
    </row>
    <row r="20" spans="2:11" ht="22.5" customHeight="1" x14ac:dyDescent="0.2">
      <c r="B20" s="6"/>
      <c r="C20" s="6"/>
      <c r="D20" s="6"/>
      <c r="E20" s="6"/>
      <c r="F20" s="6"/>
      <c r="K20" s="717"/>
    </row>
    <row r="21" spans="2:11" ht="6" customHeight="1" x14ac:dyDescent="0.2">
      <c r="B21" s="6"/>
      <c r="C21" s="6"/>
      <c r="D21" s="6"/>
      <c r="E21" s="6"/>
      <c r="F21" s="6"/>
      <c r="K21" s="717"/>
    </row>
    <row r="22" spans="2:11" ht="19.5" customHeight="1" x14ac:dyDescent="0.2">
      <c r="B22" s="6"/>
      <c r="C22" s="6"/>
      <c r="D22" s="6"/>
      <c r="E22" s="6"/>
      <c r="F22" s="6"/>
      <c r="K22" s="717"/>
    </row>
    <row r="23" spans="2:11" ht="19.5" customHeight="1" x14ac:dyDescent="0.2">
      <c r="B23" s="6"/>
      <c r="C23" s="6"/>
      <c r="D23" s="6"/>
      <c r="E23" s="6"/>
      <c r="F23" s="6"/>
      <c r="K23" s="717"/>
    </row>
    <row r="24" spans="2:11" ht="19.5" customHeight="1" x14ac:dyDescent="0.2">
      <c r="B24" s="6"/>
      <c r="C24" s="6"/>
      <c r="D24" s="6"/>
      <c r="E24" s="6"/>
      <c r="F24" s="6"/>
      <c r="K24" s="717"/>
    </row>
    <row r="25" spans="2:11" ht="19.5" customHeight="1" x14ac:dyDescent="0.2">
      <c r="B25" s="6"/>
      <c r="C25" s="6"/>
      <c r="D25" s="6"/>
      <c r="E25" s="6"/>
      <c r="F25" s="6"/>
    </row>
    <row r="26" spans="2:11" ht="19.5" customHeight="1" x14ac:dyDescent="0.2">
      <c r="B26" s="6"/>
      <c r="C26" s="6"/>
      <c r="D26" s="6"/>
      <c r="E26" s="6"/>
      <c r="F26" s="6"/>
    </row>
    <row r="27" spans="2:11" ht="19.5" customHeight="1" x14ac:dyDescent="0.2">
      <c r="B27" s="6"/>
      <c r="C27" s="6"/>
      <c r="D27" s="6"/>
      <c r="E27" s="6"/>
      <c r="F27" s="6"/>
    </row>
    <row r="28" spans="2:11" ht="19.5" customHeight="1" x14ac:dyDescent="0.2">
      <c r="B28" s="6"/>
      <c r="C28" s="6"/>
      <c r="D28" s="6"/>
      <c r="E28" s="6"/>
      <c r="F28" s="6"/>
    </row>
    <row r="29" spans="2:11" ht="19.5" customHeight="1" x14ac:dyDescent="0.2">
      <c r="B29" s="6"/>
      <c r="C29" s="6"/>
      <c r="D29" s="6"/>
      <c r="E29" s="6"/>
      <c r="F29" s="6"/>
    </row>
    <row r="30" spans="2:11" ht="19.5" customHeight="1" x14ac:dyDescent="0.2"/>
    <row r="31" spans="2:11" ht="19.5" customHeight="1" x14ac:dyDescent="0.2">
      <c r="H31" s="568" t="s">
        <v>169</v>
      </c>
      <c r="I31" s="569"/>
      <c r="J31" s="569"/>
    </row>
  </sheetData>
  <sheetProtection sheet="1" formatCells="0" formatColumns="0" formatRows="0" insertColumns="0" insertRows="0" insertHyperlinks="0" deleteColumns="0" deleteRows="0" pivotTables="0"/>
  <mergeCells count="24">
    <mergeCell ref="H31:J31"/>
    <mergeCell ref="B13:C13"/>
    <mergeCell ref="B14:C14"/>
    <mergeCell ref="B15:C15"/>
    <mergeCell ref="B16:C16"/>
    <mergeCell ref="B17:C17"/>
    <mergeCell ref="B19:E19"/>
    <mergeCell ref="K16:K24"/>
    <mergeCell ref="B9:J9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493A-05CF-4F1C-9C8E-F142AA4154F7}">
  <sheetPr>
    <tabColor theme="9" tint="-0.499984740745262"/>
    <pageSetUpPr fitToPage="1"/>
  </sheetPr>
  <dimension ref="B2:N37"/>
  <sheetViews>
    <sheetView showGridLines="0" topLeftCell="A18" workbookViewId="0">
      <selection activeCell="J20" sqref="J20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651" t="s">
        <v>235</v>
      </c>
      <c r="I5" s="729"/>
      <c r="J5" s="657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5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8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100" t="s">
        <v>218</v>
      </c>
      <c r="E12" s="100" t="s">
        <v>219</v>
      </c>
      <c r="F12" s="100" t="s">
        <v>220</v>
      </c>
      <c r="G12" s="100" t="s">
        <v>221</v>
      </c>
      <c r="H12" s="98" t="s">
        <v>222</v>
      </c>
      <c r="I12" s="98" t="s">
        <v>223</v>
      </c>
    </row>
    <row r="13" spans="2:10" ht="41.25" customHeight="1" thickBot="1" x14ac:dyDescent="0.25">
      <c r="B13" s="667" t="s">
        <v>238</v>
      </c>
      <c r="C13" s="730"/>
      <c r="D13" s="42">
        <v>41</v>
      </c>
      <c r="E13" s="42">
        <v>40</v>
      </c>
      <c r="F13" s="42">
        <v>27</v>
      </c>
      <c r="G13" s="42">
        <v>34</v>
      </c>
      <c r="H13" s="42">
        <v>32</v>
      </c>
      <c r="I13" s="412">
        <v>38</v>
      </c>
    </row>
    <row r="14" spans="2:10" ht="41.25" customHeight="1" thickBot="1" x14ac:dyDescent="0.25">
      <c r="B14" s="667" t="s">
        <v>287</v>
      </c>
      <c r="C14" s="730"/>
      <c r="D14" s="42">
        <v>13</v>
      </c>
      <c r="E14" s="42">
        <v>14</v>
      </c>
      <c r="F14" s="42">
        <v>9</v>
      </c>
      <c r="G14" s="42">
        <v>19</v>
      </c>
      <c r="H14" s="42">
        <v>13</v>
      </c>
      <c r="I14" s="413">
        <v>24</v>
      </c>
    </row>
    <row r="15" spans="2:10" ht="41.25" customHeight="1" thickBot="1" x14ac:dyDescent="0.25">
      <c r="B15" s="667" t="s">
        <v>241</v>
      </c>
      <c r="C15" s="730"/>
      <c r="D15" s="42">
        <v>35</v>
      </c>
      <c r="E15" s="42">
        <v>30</v>
      </c>
      <c r="F15" s="42">
        <v>17</v>
      </c>
      <c r="G15" s="42">
        <v>29</v>
      </c>
      <c r="H15" s="42">
        <v>25</v>
      </c>
      <c r="I15" s="413">
        <v>31</v>
      </c>
    </row>
    <row r="16" spans="2:10" ht="41.25" customHeight="1" thickBot="1" x14ac:dyDescent="0.25">
      <c r="B16" s="733" t="s">
        <v>244</v>
      </c>
      <c r="C16" s="734"/>
      <c r="D16" s="42">
        <v>38</v>
      </c>
      <c r="E16" s="42">
        <v>33</v>
      </c>
      <c r="F16" s="42">
        <v>24</v>
      </c>
      <c r="G16" s="42">
        <v>28</v>
      </c>
      <c r="H16" s="42">
        <v>26</v>
      </c>
      <c r="I16" s="413">
        <v>23</v>
      </c>
    </row>
    <row r="17" spans="2:14" ht="41.25" customHeight="1" thickBot="1" x14ac:dyDescent="0.25">
      <c r="B17" s="667" t="s">
        <v>246</v>
      </c>
      <c r="C17" s="730"/>
      <c r="D17" s="42">
        <v>26</v>
      </c>
      <c r="E17" s="42">
        <v>29</v>
      </c>
      <c r="F17" s="42">
        <v>20</v>
      </c>
      <c r="G17" s="42">
        <v>30</v>
      </c>
      <c r="H17" s="42">
        <v>37</v>
      </c>
      <c r="I17" s="413">
        <v>26</v>
      </c>
      <c r="K17" s="16"/>
    </row>
    <row r="18" spans="2:14" ht="41.25" customHeight="1" thickBot="1" x14ac:dyDescent="0.25">
      <c r="B18" s="730" t="s">
        <v>245</v>
      </c>
      <c r="C18" s="735"/>
      <c r="D18" s="42" t="s">
        <v>231</v>
      </c>
      <c r="E18" s="42" t="s">
        <v>231</v>
      </c>
      <c r="F18" s="42" t="s">
        <v>231</v>
      </c>
      <c r="G18" s="42" t="s">
        <v>231</v>
      </c>
      <c r="H18" s="42">
        <v>11</v>
      </c>
      <c r="I18" s="413">
        <v>21</v>
      </c>
      <c r="K18" s="16"/>
    </row>
    <row r="19" spans="2:14" ht="41.25" customHeight="1" thickBot="1" x14ac:dyDescent="0.25">
      <c r="B19" s="667" t="s">
        <v>288</v>
      </c>
      <c r="C19" s="730"/>
      <c r="D19" s="42">
        <v>47</v>
      </c>
      <c r="E19" s="42">
        <v>18</v>
      </c>
      <c r="F19" s="42">
        <v>16</v>
      </c>
      <c r="G19" s="42">
        <v>19</v>
      </c>
      <c r="H19" s="42">
        <v>12</v>
      </c>
      <c r="I19" s="413">
        <v>18</v>
      </c>
      <c r="K19" s="16"/>
    </row>
    <row r="20" spans="2:14" ht="41.25" customHeight="1" thickBot="1" x14ac:dyDescent="0.25">
      <c r="B20" s="731" t="s">
        <v>322</v>
      </c>
      <c r="C20" s="732"/>
      <c r="D20" s="139">
        <v>38</v>
      </c>
      <c r="E20" s="139">
        <v>40</v>
      </c>
      <c r="F20" s="139">
        <v>24</v>
      </c>
      <c r="G20" s="139">
        <v>31</v>
      </c>
      <c r="H20" s="42">
        <v>32</v>
      </c>
      <c r="I20" s="414">
        <v>44</v>
      </c>
      <c r="K20" s="16"/>
    </row>
    <row r="21" spans="2:14" ht="41.25" customHeight="1" thickBot="1" x14ac:dyDescent="0.25">
      <c r="B21" s="736" t="s">
        <v>323</v>
      </c>
      <c r="C21" s="737"/>
      <c r="D21" s="207">
        <v>10</v>
      </c>
      <c r="E21" s="207">
        <v>10</v>
      </c>
      <c r="F21" s="207">
        <v>10</v>
      </c>
      <c r="G21" s="207">
        <v>10</v>
      </c>
      <c r="H21" s="207">
        <v>10</v>
      </c>
      <c r="I21" s="415">
        <v>10</v>
      </c>
      <c r="K21" s="170" t="s">
        <v>228</v>
      </c>
      <c r="L21" s="171"/>
      <c r="M21" s="142"/>
      <c r="N21" s="141"/>
    </row>
    <row r="22" spans="2:14" ht="41.25" customHeight="1" thickBot="1" x14ac:dyDescent="0.25">
      <c r="B22" s="667" t="s">
        <v>324</v>
      </c>
      <c r="C22" s="667"/>
      <c r="D22" s="42">
        <f>COUNTIF(D13:D20,"&gt;=10")</f>
        <v>7</v>
      </c>
      <c r="E22" s="42">
        <f t="shared" ref="E22:H22" si="0">COUNTIF(E13:E20,"&gt;=10")</f>
        <v>7</v>
      </c>
      <c r="F22" s="42">
        <f t="shared" si="0"/>
        <v>6</v>
      </c>
      <c r="G22" s="42">
        <f t="shared" si="0"/>
        <v>7</v>
      </c>
      <c r="H22" s="42">
        <f t="shared" si="0"/>
        <v>8</v>
      </c>
      <c r="I22" s="413">
        <v>8</v>
      </c>
      <c r="J22" s="7"/>
      <c r="K22" s="7"/>
      <c r="L22" s="7"/>
      <c r="M22" s="7"/>
    </row>
    <row r="23" spans="2:14" ht="22.5" customHeight="1" thickBot="1" x14ac:dyDescent="0.3">
      <c r="B23" s="153" t="s">
        <v>325</v>
      </c>
      <c r="C23" s="153"/>
      <c r="D23" s="312">
        <f>COUNT(D13:D20)</f>
        <v>7</v>
      </c>
      <c r="E23" s="312">
        <f t="shared" ref="E23:H23" si="1">COUNT(E13:E20)</f>
        <v>7</v>
      </c>
      <c r="F23" s="312">
        <f t="shared" si="1"/>
        <v>7</v>
      </c>
      <c r="G23" s="312">
        <f t="shared" si="1"/>
        <v>7</v>
      </c>
      <c r="H23" s="312">
        <f t="shared" si="1"/>
        <v>8</v>
      </c>
      <c r="I23" s="155">
        <v>8</v>
      </c>
      <c r="K23" s="721"/>
      <c r="L23" s="722"/>
      <c r="M23" s="722"/>
      <c r="N23" s="723"/>
    </row>
    <row r="24" spans="2:14" ht="22.5" customHeight="1" x14ac:dyDescent="0.25">
      <c r="B24" s="208" t="s">
        <v>234</v>
      </c>
      <c r="C24" s="208"/>
      <c r="D24" s="359">
        <f>D22/D23</f>
        <v>1</v>
      </c>
      <c r="E24" s="359">
        <f t="shared" ref="E24:I24" si="2">E22/E23</f>
        <v>1</v>
      </c>
      <c r="F24" s="359">
        <f t="shared" si="2"/>
        <v>0.8571428571428571</v>
      </c>
      <c r="G24" s="359">
        <f t="shared" si="2"/>
        <v>1</v>
      </c>
      <c r="H24" s="359">
        <f t="shared" si="2"/>
        <v>1</v>
      </c>
      <c r="I24" s="359">
        <f t="shared" si="2"/>
        <v>1</v>
      </c>
      <c r="K24" s="724"/>
      <c r="L24" s="725"/>
      <c r="M24" s="725"/>
      <c r="N24" s="726"/>
    </row>
    <row r="25" spans="2:14" ht="22.5" customHeight="1" x14ac:dyDescent="0.2">
      <c r="B25" s="727" t="s">
        <v>326</v>
      </c>
      <c r="C25" s="728"/>
      <c r="D25" s="728"/>
      <c r="E25" s="728"/>
      <c r="F25" s="6"/>
      <c r="K25" s="724"/>
      <c r="L25" s="725"/>
      <c r="M25" s="725"/>
      <c r="N25" s="726"/>
    </row>
    <row r="26" spans="2:14" ht="22.5" customHeight="1" x14ac:dyDescent="0.2">
      <c r="B26" s="572" t="s">
        <v>227</v>
      </c>
      <c r="C26" s="573"/>
      <c r="D26" s="573"/>
      <c r="E26" s="574"/>
      <c r="F26" s="6"/>
      <c r="K26" s="724"/>
      <c r="L26" s="725"/>
      <c r="M26" s="725"/>
      <c r="N26" s="726"/>
    </row>
    <row r="27" spans="2:14" ht="6" customHeight="1" x14ac:dyDescent="0.2">
      <c r="B27" s="6"/>
      <c r="C27" s="6"/>
      <c r="D27" s="6"/>
      <c r="E27" s="6"/>
      <c r="F27" s="6"/>
      <c r="K27" s="724"/>
      <c r="L27" s="725"/>
      <c r="M27" s="725"/>
      <c r="N27" s="726"/>
    </row>
    <row r="28" spans="2:14" ht="19.5" customHeight="1" x14ac:dyDescent="0.2">
      <c r="B28" s="6"/>
      <c r="C28" s="6"/>
      <c r="D28" s="6"/>
      <c r="E28" s="6"/>
      <c r="F28" s="6"/>
      <c r="K28" s="724"/>
      <c r="L28" s="725"/>
      <c r="M28" s="725"/>
      <c r="N28" s="726"/>
    </row>
    <row r="37" spans="8:10" ht="19.5" customHeight="1" x14ac:dyDescent="0.2">
      <c r="H37" s="568" t="s">
        <v>169</v>
      </c>
      <c r="I37" s="569"/>
      <c r="J37" s="569"/>
    </row>
  </sheetData>
  <sheetProtection sheet="1" formatCells="0" formatColumns="0" formatRows="0" insertColumns="0" insertRows="0" insertHyperlinks="0" deleteColumns="0" deleteRows="0" pivotTables="0"/>
  <mergeCells count="30">
    <mergeCell ref="H37:J37"/>
    <mergeCell ref="B19:C19"/>
    <mergeCell ref="B20:C20"/>
    <mergeCell ref="F6:G6"/>
    <mergeCell ref="B17:C17"/>
    <mergeCell ref="B7:C7"/>
    <mergeCell ref="D7:J7"/>
    <mergeCell ref="B9:J9"/>
    <mergeCell ref="B13:C13"/>
    <mergeCell ref="B14:C14"/>
    <mergeCell ref="B15:C15"/>
    <mergeCell ref="B16:C16"/>
    <mergeCell ref="B18:C18"/>
    <mergeCell ref="B21:C21"/>
    <mergeCell ref="B22:C22"/>
    <mergeCell ref="B26:E26"/>
    <mergeCell ref="B2:D2"/>
    <mergeCell ref="E2:J2"/>
    <mergeCell ref="B4:C4"/>
    <mergeCell ref="D4:E4"/>
    <mergeCell ref="F4:G4"/>
    <mergeCell ref="H4:J4"/>
    <mergeCell ref="K23:N28"/>
    <mergeCell ref="B25:E25"/>
    <mergeCell ref="B5:C5"/>
    <mergeCell ref="D5:E5"/>
    <mergeCell ref="F5:G5"/>
    <mergeCell ref="H5:J5"/>
    <mergeCell ref="B6:C6"/>
    <mergeCell ref="D6:E6"/>
  </mergeCells>
  <conditionalFormatting sqref="D13:H20">
    <cfRule type="cellIs" dxfId="50" priority="1" operator="lessThan">
      <formula>10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FBB8-75B3-4A71-ACDC-6EF974077BEB}">
  <sheetPr>
    <tabColor theme="9" tint="-0.499984740745262"/>
    <pageSetUpPr fitToPage="1"/>
  </sheetPr>
  <dimension ref="B2:N41"/>
  <sheetViews>
    <sheetView showGridLines="0" topLeftCell="A18" workbookViewId="0">
      <selection activeCell="J24" sqref="J2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651" t="s">
        <v>235</v>
      </c>
      <c r="I5" s="729"/>
      <c r="J5" s="657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0" t="s">
        <v>218</v>
      </c>
      <c r="E12" s="100" t="s">
        <v>219</v>
      </c>
      <c r="F12" s="100" t="s">
        <v>220</v>
      </c>
      <c r="G12" s="100" t="s">
        <v>221</v>
      </c>
      <c r="H12" s="100" t="s">
        <v>222</v>
      </c>
      <c r="I12" s="100" t="s">
        <v>223</v>
      </c>
    </row>
    <row r="13" spans="2:10" ht="22.5" customHeight="1" x14ac:dyDescent="0.2">
      <c r="B13" s="667" t="s">
        <v>238</v>
      </c>
      <c r="C13" s="667"/>
      <c r="D13" s="42">
        <v>3.8</v>
      </c>
      <c r="E13" s="42" t="s">
        <v>231</v>
      </c>
      <c r="F13" s="42">
        <v>3.75</v>
      </c>
      <c r="G13" s="42">
        <v>3.5</v>
      </c>
      <c r="H13" s="29">
        <v>4.12</v>
      </c>
      <c r="I13" s="29" t="s">
        <v>254</v>
      </c>
    </row>
    <row r="14" spans="2:10" ht="22.5" customHeight="1" x14ac:dyDescent="0.2">
      <c r="B14" s="667" t="s">
        <v>239</v>
      </c>
      <c r="C14" s="667"/>
      <c r="D14" s="42" t="s">
        <v>231</v>
      </c>
      <c r="E14" s="42" t="s">
        <v>231</v>
      </c>
      <c r="F14" s="42">
        <v>4.4000000000000004</v>
      </c>
      <c r="G14" s="42">
        <v>3</v>
      </c>
      <c r="H14" s="29">
        <v>4.43</v>
      </c>
      <c r="I14" s="29" t="s">
        <v>254</v>
      </c>
    </row>
    <row r="15" spans="2:10" ht="22.5" customHeight="1" x14ac:dyDescent="0.2">
      <c r="B15" s="667" t="s">
        <v>287</v>
      </c>
      <c r="C15" s="667"/>
      <c r="D15" s="42" t="s">
        <v>231</v>
      </c>
      <c r="E15" s="42">
        <v>4.33</v>
      </c>
      <c r="F15" s="42">
        <v>4</v>
      </c>
      <c r="G15" s="42">
        <v>3</v>
      </c>
      <c r="H15" s="29">
        <v>4.5</v>
      </c>
      <c r="I15" s="29" t="s">
        <v>254</v>
      </c>
    </row>
    <row r="16" spans="2:10" ht="22.5" customHeight="1" x14ac:dyDescent="0.2">
      <c r="B16" s="667" t="s">
        <v>244</v>
      </c>
      <c r="C16" s="667"/>
      <c r="D16" s="42">
        <v>3.22</v>
      </c>
      <c r="E16" s="42">
        <v>3.35</v>
      </c>
      <c r="F16" s="42">
        <v>3.58</v>
      </c>
      <c r="G16" s="42">
        <v>2.83</v>
      </c>
      <c r="H16" s="29">
        <v>4</v>
      </c>
      <c r="I16" s="29" t="s">
        <v>254</v>
      </c>
    </row>
    <row r="17" spans="2:14" ht="22.5" customHeight="1" x14ac:dyDescent="0.2">
      <c r="B17" s="667" t="s">
        <v>241</v>
      </c>
      <c r="C17" s="667"/>
      <c r="D17" s="42" t="s">
        <v>231</v>
      </c>
      <c r="E17" s="42" t="s">
        <v>231</v>
      </c>
      <c r="F17" s="42" t="s">
        <v>231</v>
      </c>
      <c r="G17" s="42">
        <v>5</v>
      </c>
      <c r="H17" s="29">
        <v>4.05</v>
      </c>
      <c r="I17" s="29" t="s">
        <v>254</v>
      </c>
      <c r="K17" s="22"/>
    </row>
    <row r="18" spans="2:14" ht="22.5" customHeight="1" x14ac:dyDescent="0.2">
      <c r="B18" s="667" t="s">
        <v>300</v>
      </c>
      <c r="C18" s="667"/>
      <c r="D18" s="42">
        <v>2.71</v>
      </c>
      <c r="E18" s="42">
        <v>3.33</v>
      </c>
      <c r="F18" s="42" t="s">
        <v>231</v>
      </c>
      <c r="G18" s="42">
        <v>2</v>
      </c>
      <c r="H18" s="29">
        <v>4.33</v>
      </c>
      <c r="I18" s="29" t="s">
        <v>254</v>
      </c>
      <c r="K18" s="22"/>
    </row>
    <row r="19" spans="2:14" ht="22.5" customHeight="1" x14ac:dyDescent="0.2">
      <c r="B19" s="667" t="s">
        <v>327</v>
      </c>
      <c r="C19" s="667"/>
      <c r="D19" s="42">
        <v>3.4</v>
      </c>
      <c r="E19" s="42" t="s">
        <v>231</v>
      </c>
      <c r="F19" s="42" t="s">
        <v>231</v>
      </c>
      <c r="G19" s="42" t="s">
        <v>231</v>
      </c>
      <c r="H19" s="29">
        <v>4.13</v>
      </c>
      <c r="I19" s="29" t="s">
        <v>254</v>
      </c>
      <c r="K19" s="22"/>
    </row>
    <row r="20" spans="2:14" ht="22.5" customHeight="1" x14ac:dyDescent="0.2">
      <c r="B20" s="667" t="s">
        <v>246</v>
      </c>
      <c r="C20" s="667"/>
      <c r="D20" s="42">
        <v>3.7</v>
      </c>
      <c r="E20" s="42">
        <v>2.09</v>
      </c>
      <c r="F20" s="42">
        <v>2.91</v>
      </c>
      <c r="G20" s="42">
        <v>2.5</v>
      </c>
      <c r="H20" s="29">
        <v>3.83</v>
      </c>
      <c r="I20" s="29" t="s">
        <v>254</v>
      </c>
      <c r="K20" s="68" t="s">
        <v>228</v>
      </c>
      <c r="L20" s="142"/>
      <c r="M20" s="142"/>
      <c r="N20" s="141"/>
    </row>
    <row r="21" spans="2:14" ht="46.5" customHeight="1" x14ac:dyDescent="0.2">
      <c r="B21" s="667" t="s">
        <v>245</v>
      </c>
      <c r="C21" s="667"/>
      <c r="D21" s="42" t="s">
        <v>231</v>
      </c>
      <c r="E21" s="42" t="s">
        <v>231</v>
      </c>
      <c r="F21" s="42" t="s">
        <v>231</v>
      </c>
      <c r="G21" s="42" t="s">
        <v>231</v>
      </c>
      <c r="H21" s="29">
        <v>5</v>
      </c>
      <c r="I21" s="29" t="s">
        <v>254</v>
      </c>
      <c r="J21" s="7"/>
      <c r="K21" s="7"/>
      <c r="L21" s="7"/>
      <c r="M21" s="7"/>
    </row>
    <row r="22" spans="2:14" ht="22.5" customHeight="1" x14ac:dyDescent="0.2">
      <c r="B22" s="667" t="s">
        <v>248</v>
      </c>
      <c r="C22" s="667"/>
      <c r="D22" s="42">
        <v>3.4</v>
      </c>
      <c r="E22" s="42">
        <v>4.22</v>
      </c>
      <c r="F22" s="42">
        <v>4.1500000000000004</v>
      </c>
      <c r="G22" s="42">
        <v>2</v>
      </c>
      <c r="H22" s="29">
        <v>3.68</v>
      </c>
      <c r="I22" s="29" t="s">
        <v>254</v>
      </c>
      <c r="K22" s="559" t="s">
        <v>328</v>
      </c>
      <c r="L22" s="560"/>
      <c r="M22" s="560"/>
      <c r="N22" s="561"/>
    </row>
    <row r="23" spans="2:14" ht="22.5" customHeight="1" x14ac:dyDescent="0.2">
      <c r="B23" s="667" t="s">
        <v>288</v>
      </c>
      <c r="C23" s="667"/>
      <c r="D23" s="42">
        <v>3.48</v>
      </c>
      <c r="E23" s="42">
        <v>2.62</v>
      </c>
      <c r="F23" s="42">
        <v>3</v>
      </c>
      <c r="G23" s="42">
        <v>2.25</v>
      </c>
      <c r="H23" s="29">
        <v>4.2699999999999996</v>
      </c>
      <c r="I23" s="29" t="s">
        <v>254</v>
      </c>
      <c r="K23" s="562"/>
      <c r="L23" s="563"/>
      <c r="M23" s="563"/>
      <c r="N23" s="564"/>
    </row>
    <row r="24" spans="2:14" ht="22.5" customHeight="1" x14ac:dyDescent="0.25">
      <c r="B24" s="642" t="e">
        <f>D5</f>
        <v>#REF!</v>
      </c>
      <c r="C24" s="642"/>
      <c r="D24" s="56">
        <f>COUNTIF( D13:D23,"&gt;=3")</f>
        <v>6</v>
      </c>
      <c r="E24" s="56">
        <f t="shared" ref="E24:H24" si="0">COUNTIF( E13:E23,"&gt;=3")</f>
        <v>4</v>
      </c>
      <c r="F24" s="56">
        <f t="shared" si="0"/>
        <v>6</v>
      </c>
      <c r="G24" s="56">
        <f t="shared" si="0"/>
        <v>4</v>
      </c>
      <c r="H24" s="56">
        <f t="shared" si="0"/>
        <v>11</v>
      </c>
      <c r="I24" s="56">
        <f t="shared" ref="I24" si="1">COUNTIF( I13:I23,"&gt;=3")</f>
        <v>0</v>
      </c>
      <c r="K24" s="562"/>
      <c r="L24" s="563"/>
      <c r="M24" s="563"/>
      <c r="N24" s="564"/>
    </row>
    <row r="25" spans="2:14" ht="22.5" customHeight="1" x14ac:dyDescent="0.25">
      <c r="B25" s="642" t="s">
        <v>251</v>
      </c>
      <c r="C25" s="642"/>
      <c r="D25" s="51">
        <f t="shared" ref="D25:I25" si="2">COUNT( D13:D23)</f>
        <v>7</v>
      </c>
      <c r="E25" s="51">
        <f t="shared" si="2"/>
        <v>6</v>
      </c>
      <c r="F25" s="51">
        <f t="shared" si="2"/>
        <v>7</v>
      </c>
      <c r="G25" s="51">
        <f t="shared" si="2"/>
        <v>9</v>
      </c>
      <c r="H25" s="51">
        <f t="shared" si="2"/>
        <v>11</v>
      </c>
      <c r="I25" s="51">
        <f t="shared" si="2"/>
        <v>0</v>
      </c>
      <c r="K25" s="562"/>
      <c r="L25" s="563"/>
      <c r="M25" s="563"/>
      <c r="N25" s="564"/>
    </row>
    <row r="26" spans="2:14" ht="22.5" customHeight="1" x14ac:dyDescent="0.2">
      <c r="B26" s="205" t="s">
        <v>225</v>
      </c>
      <c r="C26" s="206" t="e">
        <f>B24</f>
        <v>#REF!</v>
      </c>
      <c r="D26" s="174">
        <v>3</v>
      </c>
      <c r="E26" s="174">
        <v>3</v>
      </c>
      <c r="F26" s="174">
        <v>3</v>
      </c>
      <c r="G26" s="174">
        <v>3</v>
      </c>
      <c r="H26" s="174">
        <v>3</v>
      </c>
      <c r="I26" s="174">
        <v>3</v>
      </c>
      <c r="K26" s="562"/>
      <c r="L26" s="563"/>
      <c r="M26" s="563"/>
      <c r="N26" s="564"/>
    </row>
    <row r="27" spans="2:14" ht="22.5" customHeight="1" x14ac:dyDescent="0.2">
      <c r="B27" s="640" t="s">
        <v>226</v>
      </c>
      <c r="C27" s="706"/>
      <c r="D27" s="57">
        <f t="shared" ref="D27:I27" si="3">D24/D25</f>
        <v>0.8571428571428571</v>
      </c>
      <c r="E27" s="57">
        <f t="shared" si="3"/>
        <v>0.66666666666666663</v>
      </c>
      <c r="F27" s="57">
        <f t="shared" si="3"/>
        <v>0.8571428571428571</v>
      </c>
      <c r="G27" s="57">
        <f t="shared" si="3"/>
        <v>0.44444444444444442</v>
      </c>
      <c r="H27" s="57">
        <f t="shared" si="3"/>
        <v>1</v>
      </c>
      <c r="I27" s="57" t="e">
        <f t="shared" si="3"/>
        <v>#DIV/0!</v>
      </c>
      <c r="K27" s="562"/>
      <c r="L27" s="563"/>
      <c r="M27" s="563"/>
      <c r="N27" s="564"/>
    </row>
    <row r="28" spans="2:14" ht="22.5" customHeight="1" x14ac:dyDescent="0.25">
      <c r="B28" s="5"/>
      <c r="C28" s="5"/>
      <c r="D28" s="4"/>
      <c r="E28" s="4"/>
      <c r="F28" s="4"/>
      <c r="G28" s="4"/>
      <c r="H28" s="4"/>
      <c r="I28" s="4"/>
      <c r="K28" s="562"/>
      <c r="L28" s="563"/>
      <c r="M28" s="563"/>
      <c r="N28" s="564"/>
    </row>
    <row r="29" spans="2:14" ht="22.5" customHeight="1" x14ac:dyDescent="0.2">
      <c r="B29" s="572" t="s">
        <v>227</v>
      </c>
      <c r="C29" s="573"/>
      <c r="D29" s="573"/>
      <c r="E29" s="574"/>
      <c r="F29" s="6"/>
      <c r="K29" s="562"/>
      <c r="L29" s="563"/>
      <c r="M29" s="563"/>
      <c r="N29" s="564"/>
    </row>
    <row r="30" spans="2:14" ht="22.5" customHeight="1" x14ac:dyDescent="0.2">
      <c r="B30" s="6"/>
      <c r="C30" s="6"/>
      <c r="D30" s="6"/>
      <c r="E30" s="6"/>
      <c r="F30" s="6"/>
      <c r="K30" s="565"/>
      <c r="L30" s="566"/>
      <c r="M30" s="566"/>
      <c r="N30" s="567"/>
    </row>
    <row r="41" spans="8:10" ht="19.5" customHeight="1" x14ac:dyDescent="0.2">
      <c r="H41" s="568" t="s">
        <v>169</v>
      </c>
      <c r="I41" s="569"/>
      <c r="J41" s="569"/>
    </row>
  </sheetData>
  <sheetProtection sheet="1" formatCells="0" formatColumns="0" formatRows="0" insertColumns="0" insertRows="0" insertHyperlinks="0" deleteColumns="0" deleteRows="0" pivotTables="0"/>
  <mergeCells count="33">
    <mergeCell ref="H41:J41"/>
    <mergeCell ref="B9:J9"/>
    <mergeCell ref="B24:C24"/>
    <mergeCell ref="B25:C25"/>
    <mergeCell ref="B27:C27"/>
    <mergeCell ref="B13:C13"/>
    <mergeCell ref="B15:C15"/>
    <mergeCell ref="B16:C16"/>
    <mergeCell ref="B17:C17"/>
    <mergeCell ref="B20:C20"/>
    <mergeCell ref="B14:C14"/>
    <mergeCell ref="B18:C18"/>
    <mergeCell ref="B7:C7"/>
    <mergeCell ref="D7:J7"/>
    <mergeCell ref="B29:E29"/>
    <mergeCell ref="K22:N30"/>
    <mergeCell ref="B19:C19"/>
    <mergeCell ref="B22:C22"/>
    <mergeCell ref="B23:C23"/>
    <mergeCell ref="B21:C21"/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</mergeCells>
  <conditionalFormatting sqref="D13:I23">
    <cfRule type="cellIs" dxfId="49" priority="1" operator="less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D8B56-0B67-404B-83ED-37656FE57068}">
  <sheetPr>
    <tabColor theme="9" tint="-0.499984740745262"/>
    <pageSetUpPr fitToPage="1"/>
  </sheetPr>
  <dimension ref="A1:N50"/>
  <sheetViews>
    <sheetView showGridLines="0" topLeftCell="A37" workbookViewId="0">
      <selection activeCell="H38" sqref="H38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16.140625" customWidth="1"/>
    <col min="12" max="13" width="7.5703125" customWidth="1"/>
    <col min="14" max="14" width="19" customWidth="1"/>
    <col min="15" max="21" width="7.5703125" customWidth="1"/>
  </cols>
  <sheetData>
    <row r="1" spans="1:10" ht="22.5" customHeight="1" x14ac:dyDescent="0.2">
      <c r="A1">
        <v>3</v>
      </c>
    </row>
    <row r="2" spans="1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1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1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1:10" ht="22.5" customHeight="1" x14ac:dyDescent="0.2">
      <c r="B5" s="572" t="s">
        <v>210</v>
      </c>
      <c r="C5" s="574"/>
      <c r="D5" s="707" t="e">
        <f>#REF!</f>
        <v>#REF!</v>
      </c>
      <c r="E5" s="658"/>
      <c r="F5" s="687" t="s">
        <v>211</v>
      </c>
      <c r="G5" s="574"/>
      <c r="H5" s="651" t="s">
        <v>212</v>
      </c>
      <c r="I5" s="729"/>
      <c r="J5" s="657"/>
    </row>
    <row r="6" spans="1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1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1:10" ht="7.5" customHeight="1" x14ac:dyDescent="0.2"/>
    <row r="9" spans="1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1:10" ht="22.5" customHeight="1" x14ac:dyDescent="0.2"/>
    <row r="11" spans="1:10" ht="22.5" customHeight="1" x14ac:dyDescent="0.2">
      <c r="B11" s="14"/>
      <c r="C11" s="14"/>
      <c r="D11" s="100" t="s">
        <v>218</v>
      </c>
      <c r="E11" s="100" t="s">
        <v>219</v>
      </c>
      <c r="F11" s="100" t="s">
        <v>220</v>
      </c>
      <c r="G11" s="100" t="s">
        <v>221</v>
      </c>
      <c r="H11" s="100" t="s">
        <v>222</v>
      </c>
      <c r="I11" s="100" t="s">
        <v>223</v>
      </c>
    </row>
    <row r="12" spans="1:10" ht="41.25" customHeight="1" x14ac:dyDescent="0.2">
      <c r="B12" s="738" t="s">
        <v>329</v>
      </c>
      <c r="C12" s="738"/>
      <c r="D12" s="91">
        <v>2</v>
      </c>
      <c r="E12" s="91">
        <v>2</v>
      </c>
      <c r="F12" s="91">
        <v>2</v>
      </c>
      <c r="G12" s="42">
        <v>2</v>
      </c>
      <c r="H12" s="29">
        <v>2</v>
      </c>
      <c r="I12" s="29">
        <v>3</v>
      </c>
    </row>
    <row r="13" spans="1:10" ht="41.25" customHeight="1" x14ac:dyDescent="0.2">
      <c r="B13" s="743" t="s">
        <v>238</v>
      </c>
      <c r="C13" s="743"/>
      <c r="D13" s="91">
        <v>2</v>
      </c>
      <c r="E13" s="91">
        <v>1</v>
      </c>
      <c r="F13" s="91">
        <v>4</v>
      </c>
      <c r="G13" s="42">
        <v>1</v>
      </c>
      <c r="H13" s="29">
        <v>2</v>
      </c>
      <c r="I13" s="29">
        <v>3</v>
      </c>
    </row>
    <row r="14" spans="1:10" ht="41.25" customHeight="1" x14ac:dyDescent="0.2">
      <c r="B14" s="738" t="s">
        <v>287</v>
      </c>
      <c r="C14" s="738"/>
      <c r="D14" s="91">
        <v>1</v>
      </c>
      <c r="E14" s="91">
        <v>2</v>
      </c>
      <c r="F14" s="91">
        <v>2</v>
      </c>
      <c r="G14" s="42">
        <v>1</v>
      </c>
      <c r="H14" s="29">
        <v>2</v>
      </c>
      <c r="I14" s="29">
        <v>1</v>
      </c>
    </row>
    <row r="15" spans="1:10" ht="41.25" customHeight="1" x14ac:dyDescent="0.2">
      <c r="B15" s="738" t="s">
        <v>241</v>
      </c>
      <c r="C15" s="738"/>
      <c r="D15" s="91">
        <v>1</v>
      </c>
      <c r="E15" s="91">
        <v>3</v>
      </c>
      <c r="F15" s="91">
        <v>3</v>
      </c>
      <c r="G15" s="42">
        <v>2</v>
      </c>
      <c r="H15" s="29">
        <v>2</v>
      </c>
      <c r="I15" s="29">
        <v>2</v>
      </c>
    </row>
    <row r="16" spans="1:10" ht="41.25" customHeight="1" x14ac:dyDescent="0.2">
      <c r="B16" s="738" t="s">
        <v>246</v>
      </c>
      <c r="C16" s="738"/>
      <c r="D16" s="91">
        <v>2</v>
      </c>
      <c r="E16" s="91">
        <v>2</v>
      </c>
      <c r="F16" s="91">
        <v>2</v>
      </c>
      <c r="G16" s="42">
        <v>3</v>
      </c>
      <c r="H16" s="29">
        <v>2</v>
      </c>
      <c r="I16" s="29">
        <v>3</v>
      </c>
    </row>
    <row r="17" spans="2:14" ht="41.25" customHeight="1" x14ac:dyDescent="0.2">
      <c r="B17" s="738" t="s">
        <v>330</v>
      </c>
      <c r="C17" s="738"/>
      <c r="D17" s="91">
        <v>2</v>
      </c>
      <c r="E17" s="91">
        <v>3</v>
      </c>
      <c r="F17" s="91">
        <v>3</v>
      </c>
      <c r="G17" s="42">
        <v>1</v>
      </c>
      <c r="H17" s="29">
        <v>1</v>
      </c>
      <c r="I17" s="29">
        <v>3</v>
      </c>
      <c r="K17" s="16"/>
    </row>
    <row r="18" spans="2:14" ht="41.25" customHeight="1" x14ac:dyDescent="0.2">
      <c r="B18" s="738" t="s">
        <v>331</v>
      </c>
      <c r="C18" s="738"/>
      <c r="D18" s="91">
        <v>2</v>
      </c>
      <c r="E18" s="91">
        <v>3</v>
      </c>
      <c r="F18" s="91">
        <v>3</v>
      </c>
      <c r="G18" s="42">
        <v>0</v>
      </c>
      <c r="H18" s="29">
        <v>1</v>
      </c>
      <c r="I18" s="29">
        <v>3</v>
      </c>
      <c r="K18" s="16"/>
    </row>
    <row r="19" spans="2:14" ht="41.25" customHeight="1" x14ac:dyDescent="0.2">
      <c r="B19" s="738" t="s">
        <v>244</v>
      </c>
      <c r="C19" s="738"/>
      <c r="D19" s="91">
        <v>1</v>
      </c>
      <c r="E19" s="91">
        <v>2</v>
      </c>
      <c r="F19" s="91">
        <v>2</v>
      </c>
      <c r="G19" s="42">
        <v>1</v>
      </c>
      <c r="H19" s="29">
        <v>1</v>
      </c>
      <c r="I19" s="29">
        <v>0</v>
      </c>
      <c r="K19" s="16"/>
    </row>
    <row r="20" spans="2:14" ht="41.25" customHeight="1" x14ac:dyDescent="0.25">
      <c r="B20" s="739" t="s">
        <v>255</v>
      </c>
      <c r="C20" s="739"/>
      <c r="D20" s="91">
        <v>2</v>
      </c>
      <c r="E20" s="91">
        <v>2</v>
      </c>
      <c r="F20" s="91">
        <v>2</v>
      </c>
      <c r="G20" s="42">
        <v>2</v>
      </c>
      <c r="H20" s="29">
        <v>1</v>
      </c>
      <c r="I20" s="42">
        <v>1</v>
      </c>
      <c r="J20" s="86"/>
      <c r="K20" s="16"/>
    </row>
    <row r="21" spans="2:14" ht="41.25" customHeight="1" x14ac:dyDescent="0.2">
      <c r="B21" s="738" t="s">
        <v>332</v>
      </c>
      <c r="C21" s="738"/>
      <c r="D21" s="91" t="s">
        <v>311</v>
      </c>
      <c r="E21" s="91">
        <v>1</v>
      </c>
      <c r="F21" s="91">
        <v>1</v>
      </c>
      <c r="G21" s="42">
        <v>1</v>
      </c>
      <c r="H21" s="29">
        <v>2</v>
      </c>
      <c r="I21" s="29">
        <v>2</v>
      </c>
      <c r="K21" s="16"/>
    </row>
    <row r="22" spans="2:14" ht="41.25" customHeight="1" x14ac:dyDescent="0.2">
      <c r="B22" s="738" t="s">
        <v>247</v>
      </c>
      <c r="C22" s="738"/>
      <c r="D22" s="91">
        <v>1</v>
      </c>
      <c r="E22" s="91">
        <v>2</v>
      </c>
      <c r="F22" s="91">
        <v>2</v>
      </c>
      <c r="G22" s="42">
        <v>1</v>
      </c>
      <c r="H22" s="29">
        <v>1</v>
      </c>
      <c r="I22" s="29">
        <v>1</v>
      </c>
      <c r="K22" s="16"/>
    </row>
    <row r="23" spans="2:14" ht="51.75" customHeight="1" x14ac:dyDescent="0.25">
      <c r="B23" s="739" t="s">
        <v>293</v>
      </c>
      <c r="C23" s="739"/>
      <c r="D23" s="91">
        <v>2</v>
      </c>
      <c r="E23" s="91">
        <v>2</v>
      </c>
      <c r="F23" s="91">
        <v>2</v>
      </c>
      <c r="G23" s="42">
        <v>1</v>
      </c>
      <c r="H23" s="29">
        <v>3</v>
      </c>
      <c r="I23" s="29">
        <v>2</v>
      </c>
      <c r="K23" s="16"/>
    </row>
    <row r="24" spans="2:14" ht="51.75" customHeight="1" x14ac:dyDescent="0.3">
      <c r="B24" s="741" t="s">
        <v>333</v>
      </c>
      <c r="C24" s="741"/>
      <c r="D24" s="91" t="s">
        <v>231</v>
      </c>
      <c r="E24" s="91" t="s">
        <v>231</v>
      </c>
      <c r="F24" s="91" t="s">
        <v>231</v>
      </c>
      <c r="G24" s="42" t="s">
        <v>231</v>
      </c>
      <c r="H24" s="29">
        <v>0</v>
      </c>
      <c r="I24" s="29">
        <v>1</v>
      </c>
      <c r="K24" s="16"/>
    </row>
    <row r="25" spans="2:14" ht="48" customHeight="1" x14ac:dyDescent="0.2">
      <c r="B25" s="738" t="s">
        <v>296</v>
      </c>
      <c r="C25" s="738"/>
      <c r="D25" s="91">
        <v>4</v>
      </c>
      <c r="E25" s="91">
        <v>4</v>
      </c>
      <c r="F25" s="91">
        <v>4</v>
      </c>
      <c r="G25" s="42">
        <v>2</v>
      </c>
      <c r="H25" s="29">
        <v>2</v>
      </c>
      <c r="I25" s="29">
        <v>2</v>
      </c>
      <c r="K25" s="16"/>
    </row>
    <row r="26" spans="2:14" ht="29.25" customHeight="1" x14ac:dyDescent="0.2">
      <c r="B26" s="738" t="s">
        <v>334</v>
      </c>
      <c r="C26" s="738"/>
      <c r="D26" s="91">
        <v>1</v>
      </c>
      <c r="E26" s="91">
        <v>1</v>
      </c>
      <c r="F26" s="91">
        <v>1</v>
      </c>
      <c r="G26" s="42">
        <v>2</v>
      </c>
      <c r="H26" s="29">
        <v>1</v>
      </c>
      <c r="I26" s="29">
        <v>1</v>
      </c>
      <c r="K26" s="16"/>
    </row>
    <row r="27" spans="2:14" ht="48.75" customHeight="1" x14ac:dyDescent="0.2">
      <c r="B27" s="738" t="s">
        <v>335</v>
      </c>
      <c r="C27" s="738"/>
      <c r="D27" s="91">
        <v>1</v>
      </c>
      <c r="E27" s="91">
        <v>1</v>
      </c>
      <c r="F27" s="91">
        <v>1</v>
      </c>
      <c r="G27" s="42">
        <v>1</v>
      </c>
      <c r="H27" s="29">
        <v>1</v>
      </c>
      <c r="I27" s="29">
        <v>1</v>
      </c>
      <c r="K27" s="16"/>
    </row>
    <row r="28" spans="2:14" ht="55.5" customHeight="1" x14ac:dyDescent="0.2">
      <c r="B28" s="738" t="s">
        <v>292</v>
      </c>
      <c r="C28" s="738"/>
      <c r="D28" s="91">
        <v>1</v>
      </c>
      <c r="E28" s="91">
        <v>1</v>
      </c>
      <c r="F28" s="91">
        <v>1</v>
      </c>
      <c r="G28" s="42">
        <v>1</v>
      </c>
      <c r="H28" s="29">
        <v>3</v>
      </c>
      <c r="I28" s="29">
        <v>4</v>
      </c>
      <c r="K28" s="16"/>
    </row>
    <row r="29" spans="2:14" ht="45.75" customHeight="1" x14ac:dyDescent="0.2">
      <c r="B29" s="738" t="s">
        <v>265</v>
      </c>
      <c r="C29" s="738"/>
      <c r="D29" s="91">
        <v>2</v>
      </c>
      <c r="E29" s="91">
        <v>2</v>
      </c>
      <c r="F29" s="91">
        <v>2</v>
      </c>
      <c r="G29" s="42">
        <v>2</v>
      </c>
      <c r="H29" s="29">
        <v>1</v>
      </c>
      <c r="I29" s="29">
        <v>1</v>
      </c>
      <c r="J29" s="349"/>
      <c r="L29" s="360"/>
      <c r="M29" s="360"/>
      <c r="N29" s="347" t="s">
        <v>228</v>
      </c>
    </row>
    <row r="30" spans="2:14" ht="22.5" customHeight="1" x14ac:dyDescent="0.2">
      <c r="B30" s="642" t="e">
        <f>D5</f>
        <v>#REF!</v>
      </c>
      <c r="C30" s="642"/>
      <c r="D30" s="209">
        <f>COUNTIF(D12:D29,"&gt;=1")</f>
        <v>16</v>
      </c>
      <c r="E30" s="209">
        <f t="shared" ref="E30:G30" si="0">COUNTIF(E12:E29,"&gt;=1")</f>
        <v>17</v>
      </c>
      <c r="F30" s="209">
        <f t="shared" si="0"/>
        <v>17</v>
      </c>
      <c r="G30" s="209">
        <f t="shared" si="0"/>
        <v>16</v>
      </c>
      <c r="H30" s="209">
        <f>COUNTIF(H12:H29,"&gt;=1")</f>
        <v>17</v>
      </c>
      <c r="I30" s="29">
        <v>17</v>
      </c>
      <c r="J30" s="361"/>
      <c r="K30" s="361"/>
      <c r="L30" s="361"/>
      <c r="M30" s="361"/>
    </row>
    <row r="31" spans="2:14" ht="22.5" customHeight="1" x14ac:dyDescent="0.25">
      <c r="B31" s="642" t="s">
        <v>251</v>
      </c>
      <c r="C31" s="642"/>
      <c r="D31" s="51">
        <f t="shared" ref="D31:G31" si="1">COUNT(D12:D29)</f>
        <v>16</v>
      </c>
      <c r="E31" s="51">
        <f t="shared" si="1"/>
        <v>17</v>
      </c>
      <c r="F31" s="51">
        <f t="shared" si="1"/>
        <v>17</v>
      </c>
      <c r="G31" s="51">
        <f t="shared" si="1"/>
        <v>17</v>
      </c>
      <c r="H31" s="51">
        <f>COUNT(H12:H29)</f>
        <v>18</v>
      </c>
      <c r="I31" s="29">
        <v>18</v>
      </c>
      <c r="J31" s="742"/>
      <c r="K31" s="742"/>
      <c r="L31" s="742"/>
      <c r="M31" s="742"/>
      <c r="N31" s="362" t="s">
        <v>169</v>
      </c>
    </row>
    <row r="32" spans="2:14" ht="22.5" customHeight="1" x14ac:dyDescent="0.2">
      <c r="B32" s="210" t="s">
        <v>225</v>
      </c>
      <c r="C32" s="211" t="e">
        <f>B30</f>
        <v>#REF!</v>
      </c>
      <c r="D32" s="174">
        <v>1</v>
      </c>
      <c r="E32" s="174">
        <v>1</v>
      </c>
      <c r="F32" s="174">
        <v>1</v>
      </c>
      <c r="G32" s="174">
        <v>1</v>
      </c>
      <c r="H32" s="174">
        <v>1</v>
      </c>
      <c r="I32" s="29">
        <v>1</v>
      </c>
      <c r="J32" s="742"/>
      <c r="K32" s="742"/>
      <c r="L32" s="742"/>
      <c r="M32" s="742"/>
      <c r="N32" s="363"/>
    </row>
    <row r="33" spans="2:13" ht="22.5" customHeight="1" x14ac:dyDescent="0.2">
      <c r="B33" s="640" t="s">
        <v>226</v>
      </c>
      <c r="C33" s="706"/>
      <c r="D33" s="57">
        <f>D30/D31</f>
        <v>1</v>
      </c>
      <c r="E33" s="57">
        <f t="shared" ref="E33:G33" si="2">E30/E31</f>
        <v>1</v>
      </c>
      <c r="F33" s="57">
        <f t="shared" si="2"/>
        <v>1</v>
      </c>
      <c r="G33" s="57">
        <f t="shared" si="2"/>
        <v>0.94117647058823528</v>
      </c>
      <c r="H33" s="57">
        <f>H30/H31</f>
        <v>0.94444444444444442</v>
      </c>
      <c r="I33" s="493">
        <f>I30/I31</f>
        <v>0.94444444444444442</v>
      </c>
      <c r="J33" s="742"/>
      <c r="K33" s="742"/>
      <c r="L33" s="742"/>
      <c r="M33" s="742"/>
    </row>
    <row r="34" spans="2:13" ht="22.5" customHeight="1" x14ac:dyDescent="0.25">
      <c r="B34" s="5"/>
      <c r="C34" s="5"/>
      <c r="D34" s="120"/>
      <c r="E34" s="120"/>
      <c r="F34" s="120"/>
      <c r="G34" s="19"/>
      <c r="H34" s="4"/>
      <c r="I34" s="4"/>
      <c r="J34" s="742"/>
      <c r="K34" s="742"/>
      <c r="L34" s="742"/>
      <c r="M34" s="742"/>
    </row>
    <row r="35" spans="2:13" ht="22.5" customHeight="1" x14ac:dyDescent="0.25">
      <c r="B35" s="5"/>
      <c r="C35" s="5"/>
      <c r="D35" s="120"/>
      <c r="E35" s="120"/>
      <c r="F35" s="120"/>
      <c r="G35" s="19"/>
      <c r="H35" s="4"/>
      <c r="I35" s="4"/>
      <c r="J35" s="742"/>
      <c r="K35" s="742"/>
      <c r="L35" s="742"/>
      <c r="M35" s="742"/>
    </row>
    <row r="36" spans="2:13" ht="22.5" customHeight="1" x14ac:dyDescent="0.25">
      <c r="B36" s="5"/>
      <c r="C36" s="5"/>
      <c r="D36" s="120"/>
      <c r="E36" s="120"/>
      <c r="F36" s="120"/>
      <c r="G36" s="19"/>
      <c r="H36" s="4"/>
      <c r="I36" s="4"/>
      <c r="J36" s="742"/>
      <c r="K36" s="742"/>
      <c r="L36" s="742"/>
      <c r="M36" s="742"/>
    </row>
    <row r="37" spans="2:13" ht="22.5" customHeight="1" x14ac:dyDescent="0.25">
      <c r="B37" s="5"/>
      <c r="C37" s="5"/>
      <c r="D37" s="120"/>
      <c r="E37" s="120"/>
      <c r="F37" s="120"/>
      <c r="G37" s="19"/>
      <c r="H37" s="4"/>
      <c r="I37" s="4"/>
      <c r="J37" s="742"/>
      <c r="K37" s="742"/>
      <c r="L37" s="742"/>
      <c r="M37" s="742"/>
    </row>
    <row r="38" spans="2:13" ht="22.5" customHeight="1" x14ac:dyDescent="0.2">
      <c r="B38" s="740" t="s">
        <v>227</v>
      </c>
      <c r="C38" s="740"/>
      <c r="D38" s="740"/>
      <c r="E38" s="740"/>
      <c r="F38" s="6"/>
      <c r="J38" s="742"/>
      <c r="K38" s="742"/>
      <c r="L38" s="742"/>
      <c r="M38" s="742"/>
    </row>
    <row r="39" spans="2:13" ht="22.5" customHeight="1" x14ac:dyDescent="0.2">
      <c r="B39" s="6"/>
      <c r="C39" s="6"/>
      <c r="D39" s="6"/>
      <c r="E39" s="6"/>
      <c r="F39" s="6"/>
      <c r="J39" s="742"/>
      <c r="K39" s="742"/>
      <c r="L39" s="742"/>
      <c r="M39" s="742"/>
    </row>
    <row r="50" spans="8:10" ht="19.5" customHeight="1" x14ac:dyDescent="0.2">
      <c r="H50" s="568" t="s">
        <v>169</v>
      </c>
      <c r="I50" s="569"/>
      <c r="J50" s="569"/>
    </row>
  </sheetData>
  <sheetProtection sheet="1" formatCells="0" formatColumns="0" formatRows="0" insertColumns="0" insertRows="0" insertHyperlinks="0" deleteColumns="0" deleteRows="0" pivotTables="0"/>
  <mergeCells count="40">
    <mergeCell ref="B19:C19"/>
    <mergeCell ref="B21:C21"/>
    <mergeCell ref="B20:C20"/>
    <mergeCell ref="B15:C15"/>
    <mergeCell ref="B13:C13"/>
    <mergeCell ref="B16:C16"/>
    <mergeCell ref="B17:C17"/>
    <mergeCell ref="B18:C18"/>
    <mergeCell ref="B7:C7"/>
    <mergeCell ref="D7:J7"/>
    <mergeCell ref="B9:J9"/>
    <mergeCell ref="B12:C12"/>
    <mergeCell ref="B14:C14"/>
    <mergeCell ref="H50:J50"/>
    <mergeCell ref="B22:C22"/>
    <mergeCell ref="B25:C25"/>
    <mergeCell ref="B26:C26"/>
    <mergeCell ref="B27:C27"/>
    <mergeCell ref="B23:C23"/>
    <mergeCell ref="B28:C28"/>
    <mergeCell ref="B29:C29"/>
    <mergeCell ref="B38:E38"/>
    <mergeCell ref="B31:C31"/>
    <mergeCell ref="B24:C24"/>
    <mergeCell ref="B33:C33"/>
    <mergeCell ref="B30:C30"/>
    <mergeCell ref="J31:M39"/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F6:G6"/>
    <mergeCell ref="D6:E6"/>
  </mergeCells>
  <conditionalFormatting sqref="D12:G29">
    <cfRule type="cellIs" dxfId="48" priority="7" operator="between">
      <formula>0</formula>
      <formula>0.9</formula>
    </cfRule>
  </conditionalFormatting>
  <conditionalFormatting sqref="H12:H29">
    <cfRule type="cellIs" dxfId="47" priority="5" operator="lessThan">
      <formula>1</formula>
    </cfRule>
  </conditionalFormatting>
  <conditionalFormatting sqref="I12:I19">
    <cfRule type="cellIs" dxfId="46" priority="4" operator="lessThan">
      <formula>1</formula>
    </cfRule>
  </conditionalFormatting>
  <conditionalFormatting sqref="I21:I33">
    <cfRule type="cellIs" dxfId="45" priority="1" operator="lessThan">
      <formula>1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37B9-1384-4605-A04B-9820D1B547DF}">
  <sheetPr>
    <tabColor theme="9" tint="-0.499984740745262"/>
    <pageSetUpPr fitToPage="1"/>
  </sheetPr>
  <dimension ref="B2:K48"/>
  <sheetViews>
    <sheetView showGridLines="0" topLeftCell="A36" workbookViewId="0">
      <selection activeCell="F36" sqref="F3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36.140625" customWidth="1"/>
    <col min="12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651" t="s">
        <v>235</v>
      </c>
      <c r="I5" s="729"/>
      <c r="J5" s="657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98" t="s">
        <v>218</v>
      </c>
      <c r="E12" s="98" t="s">
        <v>219</v>
      </c>
      <c r="F12" s="98" t="s">
        <v>220</v>
      </c>
      <c r="G12" s="98" t="s">
        <v>221</v>
      </c>
      <c r="H12" s="98" t="s">
        <v>222</v>
      </c>
      <c r="I12" s="98" t="s">
        <v>223</v>
      </c>
    </row>
    <row r="13" spans="2:10" ht="41.25" customHeight="1" thickBot="1" x14ac:dyDescent="0.25">
      <c r="B13" s="667" t="s">
        <v>238</v>
      </c>
      <c r="C13" s="667"/>
      <c r="D13" s="62">
        <v>0.1</v>
      </c>
      <c r="E13" s="92">
        <v>0.16</v>
      </c>
      <c r="F13" s="92">
        <v>0.06</v>
      </c>
      <c r="G13" s="92">
        <v>0.21</v>
      </c>
      <c r="H13" s="390" t="s">
        <v>336</v>
      </c>
      <c r="I13" s="416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62">
        <v>0.15</v>
      </c>
      <c r="E14" s="91" t="s">
        <v>338</v>
      </c>
      <c r="F14" s="92" t="s">
        <v>231</v>
      </c>
      <c r="G14" s="92">
        <v>0.2</v>
      </c>
      <c r="H14" s="212" t="s">
        <v>339</v>
      </c>
      <c r="I14" s="416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62">
        <v>0.26</v>
      </c>
      <c r="E15" s="91" t="s">
        <v>340</v>
      </c>
      <c r="F15" s="92">
        <v>0.22</v>
      </c>
      <c r="G15" s="92">
        <v>0.28000000000000003</v>
      </c>
      <c r="H15" s="391" t="s">
        <v>341</v>
      </c>
      <c r="I15" s="417">
        <v>0.1628</v>
      </c>
      <c r="J15" s="121"/>
    </row>
    <row r="16" spans="2:10" ht="41.25" customHeight="1" thickBot="1" x14ac:dyDescent="0.25">
      <c r="B16" s="667" t="s">
        <v>241</v>
      </c>
      <c r="C16" s="667"/>
      <c r="D16" s="62">
        <v>0.18</v>
      </c>
      <c r="E16" s="92">
        <v>0.06</v>
      </c>
      <c r="F16" s="92">
        <v>0.15</v>
      </c>
      <c r="G16" s="92">
        <v>0.05</v>
      </c>
      <c r="H16" s="212" t="s">
        <v>339</v>
      </c>
      <c r="I16" s="417">
        <v>0.1053</v>
      </c>
      <c r="J16" s="121"/>
    </row>
    <row r="17" spans="2:11" ht="41.25" customHeight="1" thickBot="1" x14ac:dyDescent="0.25">
      <c r="B17" s="667" t="s">
        <v>330</v>
      </c>
      <c r="C17" s="667"/>
      <c r="D17" s="62" t="s">
        <v>231</v>
      </c>
      <c r="E17" s="92">
        <v>0.09</v>
      </c>
      <c r="F17" s="92">
        <v>0.05</v>
      </c>
      <c r="G17" s="92">
        <v>0.05</v>
      </c>
      <c r="H17" s="212" t="s">
        <v>342</v>
      </c>
      <c r="I17" s="417">
        <v>9.0899999999999995E-2</v>
      </c>
      <c r="J17" s="121"/>
      <c r="K17" s="21"/>
    </row>
    <row r="18" spans="2:11" ht="41.25" customHeight="1" thickBot="1" x14ac:dyDescent="0.25">
      <c r="B18" s="667" t="s">
        <v>331</v>
      </c>
      <c r="C18" s="667"/>
      <c r="D18" s="62" t="s">
        <v>231</v>
      </c>
      <c r="E18" s="92" t="s">
        <v>231</v>
      </c>
      <c r="F18" s="92" t="s">
        <v>231</v>
      </c>
      <c r="G18" s="92">
        <v>0.14000000000000001</v>
      </c>
      <c r="H18" s="212" t="s">
        <v>342</v>
      </c>
      <c r="I18" s="417">
        <v>9.5200000000000007E-2</v>
      </c>
      <c r="J18" s="121"/>
      <c r="K18" s="21"/>
    </row>
    <row r="19" spans="2:11" ht="41.25" customHeight="1" thickBot="1" x14ac:dyDescent="0.25">
      <c r="B19" s="667" t="s">
        <v>244</v>
      </c>
      <c r="C19" s="667"/>
      <c r="D19" s="62">
        <v>0.33</v>
      </c>
      <c r="E19" s="92">
        <v>0.34</v>
      </c>
      <c r="F19" s="92">
        <v>0.4</v>
      </c>
      <c r="G19" s="92">
        <v>0.38</v>
      </c>
      <c r="H19" s="391" t="s">
        <v>343</v>
      </c>
      <c r="I19" s="418">
        <v>0.45</v>
      </c>
      <c r="J19" s="121"/>
      <c r="K19" s="21"/>
    </row>
    <row r="20" spans="2:11" ht="41.25" customHeight="1" thickBot="1" x14ac:dyDescent="0.25">
      <c r="B20" s="667" t="s">
        <v>344</v>
      </c>
      <c r="C20" s="667"/>
      <c r="D20" s="42" t="s">
        <v>311</v>
      </c>
      <c r="E20" s="92">
        <v>0.24</v>
      </c>
      <c r="F20" s="92">
        <v>0.12</v>
      </c>
      <c r="G20" s="92">
        <v>0.06</v>
      </c>
      <c r="H20" s="212" t="s">
        <v>345</v>
      </c>
      <c r="I20" s="417">
        <v>0.21429999999999999</v>
      </c>
      <c r="J20" s="145"/>
    </row>
    <row r="21" spans="2:11" ht="41.25" customHeight="1" thickBot="1" x14ac:dyDescent="0.25">
      <c r="B21" s="667" t="s">
        <v>246</v>
      </c>
      <c r="C21" s="667"/>
      <c r="D21" s="62">
        <v>0.25</v>
      </c>
      <c r="E21" s="92">
        <v>0.12</v>
      </c>
      <c r="F21" s="92">
        <v>0.21</v>
      </c>
      <c r="G21" s="92">
        <v>0.12</v>
      </c>
      <c r="H21" s="212" t="s">
        <v>339</v>
      </c>
      <c r="I21" s="417">
        <v>0.20630000000000001</v>
      </c>
      <c r="J21" s="27"/>
    </row>
    <row r="22" spans="2:11" ht="41.25" customHeight="1" thickBot="1" x14ac:dyDescent="0.25">
      <c r="B22" s="667" t="s">
        <v>247</v>
      </c>
      <c r="C22" s="667"/>
      <c r="D22" s="62">
        <v>0.13</v>
      </c>
      <c r="E22" s="92">
        <v>0.23</v>
      </c>
      <c r="F22" s="92">
        <v>0.13</v>
      </c>
      <c r="G22" s="92">
        <v>0.18</v>
      </c>
      <c r="H22" s="212" t="s">
        <v>346</v>
      </c>
      <c r="I22" s="417">
        <v>0.18459999999999999</v>
      </c>
      <c r="J22" s="28"/>
      <c r="K22" s="53"/>
    </row>
    <row r="23" spans="2:11" ht="41.25" customHeight="1" thickBot="1" x14ac:dyDescent="0.25">
      <c r="B23" s="667" t="s">
        <v>248</v>
      </c>
      <c r="C23" s="667"/>
      <c r="D23" s="62">
        <v>0.18</v>
      </c>
      <c r="E23" s="92">
        <v>0.12</v>
      </c>
      <c r="F23" s="92">
        <v>0.21</v>
      </c>
      <c r="G23" s="92">
        <v>0.18</v>
      </c>
      <c r="H23" s="212" t="s">
        <v>347</v>
      </c>
      <c r="I23" s="417">
        <v>0.15970000000000001</v>
      </c>
      <c r="J23" s="28"/>
      <c r="K23" s="53"/>
    </row>
    <row r="24" spans="2:11" ht="41.25" customHeight="1" thickBot="1" x14ac:dyDescent="0.25">
      <c r="B24" s="667" t="s">
        <v>261</v>
      </c>
      <c r="C24" s="667"/>
      <c r="D24" s="62" t="s">
        <v>348</v>
      </c>
      <c r="E24" s="62">
        <v>7.0000000000000007E-2</v>
      </c>
      <c r="F24" s="92" t="s">
        <v>231</v>
      </c>
      <c r="G24" s="92">
        <v>0.04</v>
      </c>
      <c r="H24" s="212" t="s">
        <v>349</v>
      </c>
      <c r="I24" s="417">
        <v>1.9199999999999998E-2</v>
      </c>
      <c r="J24" s="28"/>
      <c r="K24" s="53"/>
    </row>
    <row r="25" spans="2:11" ht="41.25" customHeight="1" thickBot="1" x14ac:dyDescent="0.25">
      <c r="B25" s="667" t="s">
        <v>292</v>
      </c>
      <c r="C25" s="667"/>
      <c r="D25" s="62" t="s">
        <v>290</v>
      </c>
      <c r="E25" s="62">
        <v>0.15</v>
      </c>
      <c r="F25" s="92">
        <v>0.1</v>
      </c>
      <c r="G25" s="92">
        <v>0.06</v>
      </c>
      <c r="H25" s="212" t="s">
        <v>350</v>
      </c>
      <c r="I25" s="417">
        <v>3.85E-2</v>
      </c>
      <c r="J25" s="28"/>
      <c r="K25" s="53"/>
    </row>
    <row r="26" spans="2:11" ht="41.25" customHeight="1" thickBot="1" x14ac:dyDescent="0.25">
      <c r="B26" s="667" t="s">
        <v>263</v>
      </c>
      <c r="C26" s="667"/>
      <c r="D26" s="62" t="s">
        <v>290</v>
      </c>
      <c r="E26" s="62">
        <v>0.05</v>
      </c>
      <c r="F26" s="92">
        <v>0.06</v>
      </c>
      <c r="G26" s="92">
        <v>7.0000000000000007E-2</v>
      </c>
      <c r="H26" s="212" t="s">
        <v>342</v>
      </c>
      <c r="I26" s="417">
        <v>5.5599999999999997E-2</v>
      </c>
      <c r="J26" s="28"/>
      <c r="K26" s="53"/>
    </row>
    <row r="27" spans="2:11" ht="41.25" customHeight="1" thickBot="1" x14ac:dyDescent="0.25">
      <c r="B27" s="667" t="s">
        <v>264</v>
      </c>
      <c r="C27" s="667"/>
      <c r="D27" s="62" t="s">
        <v>290</v>
      </c>
      <c r="E27" s="62">
        <v>0</v>
      </c>
      <c r="F27" s="92">
        <v>0.09</v>
      </c>
      <c r="G27" s="92">
        <v>0.03</v>
      </c>
      <c r="H27" s="212" t="s">
        <v>342</v>
      </c>
      <c r="I27" s="417">
        <v>2.3800000000000002E-2</v>
      </c>
      <c r="J27" s="28"/>
      <c r="K27" s="53"/>
    </row>
    <row r="28" spans="2:11" ht="41.25" customHeight="1" thickBot="1" x14ac:dyDescent="0.25">
      <c r="B28" s="667" t="s">
        <v>277</v>
      </c>
      <c r="C28" s="667"/>
      <c r="D28" s="62" t="s">
        <v>290</v>
      </c>
      <c r="E28" s="62">
        <v>0.17</v>
      </c>
      <c r="F28" s="92">
        <v>0.14000000000000001</v>
      </c>
      <c r="G28" s="92">
        <v>0.09</v>
      </c>
      <c r="H28" s="212" t="s">
        <v>342</v>
      </c>
      <c r="I28" s="417">
        <v>8.3299999999999999E-2</v>
      </c>
      <c r="J28" s="28"/>
      <c r="K28" s="53"/>
    </row>
    <row r="29" spans="2:11" ht="41.25" customHeight="1" thickBot="1" x14ac:dyDescent="0.25">
      <c r="B29" s="667" t="s">
        <v>265</v>
      </c>
      <c r="C29" s="667"/>
      <c r="D29" s="62" t="s">
        <v>290</v>
      </c>
      <c r="E29" s="62">
        <v>0</v>
      </c>
      <c r="F29" s="92">
        <v>0</v>
      </c>
      <c r="G29" s="92">
        <v>0</v>
      </c>
      <c r="H29" s="212" t="s">
        <v>232</v>
      </c>
      <c r="I29" s="419">
        <v>0</v>
      </c>
      <c r="K29" s="68" t="s">
        <v>228</v>
      </c>
    </row>
    <row r="30" spans="2:11" ht="43.5" customHeight="1" thickBot="1" x14ac:dyDescent="0.25">
      <c r="B30" s="667" t="s">
        <v>266</v>
      </c>
      <c r="C30" s="667"/>
      <c r="D30" s="62" t="s">
        <v>290</v>
      </c>
      <c r="E30" s="62">
        <v>0.02</v>
      </c>
      <c r="F30" s="92">
        <v>0.03</v>
      </c>
      <c r="G30" s="92">
        <v>0.05</v>
      </c>
      <c r="H30" s="392" t="s">
        <v>351</v>
      </c>
      <c r="I30" s="420">
        <v>5.1299999999999998E-2</v>
      </c>
      <c r="J30" s="7"/>
      <c r="K30" s="7"/>
    </row>
    <row r="31" spans="2:11" ht="66.75" customHeight="1" x14ac:dyDescent="0.25">
      <c r="B31" s="642" t="e">
        <f>D5</f>
        <v>#REF!</v>
      </c>
      <c r="C31" s="642"/>
      <c r="D31" s="51">
        <f>COUNTIF(D13:D30,"&lt;=25%")</f>
        <v>6</v>
      </c>
      <c r="E31" s="51">
        <f t="shared" ref="E31:G31" si="0">COUNTIF(E13:E30,"&lt;=25%")</f>
        <v>14</v>
      </c>
      <c r="F31" s="51">
        <f t="shared" si="0"/>
        <v>14</v>
      </c>
      <c r="G31" s="51">
        <f t="shared" si="0"/>
        <v>16</v>
      </c>
      <c r="H31" s="51">
        <v>15</v>
      </c>
      <c r="I31" s="51">
        <v>16</v>
      </c>
      <c r="K31" s="149" t="s">
        <v>352</v>
      </c>
    </row>
    <row r="32" spans="2:11" ht="22.5" customHeight="1" x14ac:dyDescent="0.25">
      <c r="B32" s="702" t="s">
        <v>268</v>
      </c>
      <c r="C32" s="702"/>
      <c r="D32" s="51">
        <f>COUNT(D13:D30)</f>
        <v>8</v>
      </c>
      <c r="E32" s="51">
        <f>COUNT(E13:E30)</f>
        <v>15</v>
      </c>
      <c r="F32" s="51">
        <f>COUNT(F13:F30)</f>
        <v>15</v>
      </c>
      <c r="G32" s="51">
        <f>COUNT(G13:G30)</f>
        <v>18</v>
      </c>
      <c r="H32" s="51">
        <v>17</v>
      </c>
      <c r="I32" s="51">
        <v>17</v>
      </c>
      <c r="K32" s="744" t="s">
        <v>353</v>
      </c>
    </row>
    <row r="33" spans="2:11" ht="22.5" customHeight="1" x14ac:dyDescent="0.2">
      <c r="B33" s="640" t="s">
        <v>225</v>
      </c>
      <c r="C33" s="706"/>
      <c r="D33" s="119">
        <v>0.25</v>
      </c>
      <c r="E33" s="119">
        <v>0.25</v>
      </c>
      <c r="F33" s="119">
        <v>0.25</v>
      </c>
      <c r="G33" s="119">
        <v>0.25</v>
      </c>
      <c r="H33" s="119">
        <v>0.25</v>
      </c>
      <c r="I33" s="119">
        <v>0.25</v>
      </c>
      <c r="K33" s="744"/>
    </row>
    <row r="34" spans="2:11" ht="22.5" customHeight="1" x14ac:dyDescent="0.2">
      <c r="B34" s="640" t="s">
        <v>226</v>
      </c>
      <c r="C34" s="706"/>
      <c r="D34" s="57">
        <f t="shared" ref="D34:I34" si="1">D31/D32</f>
        <v>0.75</v>
      </c>
      <c r="E34" s="57">
        <f t="shared" si="1"/>
        <v>0.93333333333333335</v>
      </c>
      <c r="F34" s="57">
        <f t="shared" si="1"/>
        <v>0.93333333333333335</v>
      </c>
      <c r="G34" s="57">
        <f t="shared" si="1"/>
        <v>0.88888888888888884</v>
      </c>
      <c r="H34" s="57">
        <f t="shared" si="1"/>
        <v>0.88235294117647056</v>
      </c>
      <c r="I34" s="57">
        <f t="shared" si="1"/>
        <v>0.94117647058823528</v>
      </c>
      <c r="K34" s="744"/>
    </row>
    <row r="35" spans="2:11" ht="22.5" customHeight="1" x14ac:dyDescent="0.25">
      <c r="B35" s="5"/>
      <c r="C35" s="5"/>
      <c r="D35" s="4"/>
      <c r="E35" s="4"/>
      <c r="F35" s="4"/>
      <c r="G35" s="4"/>
      <c r="H35" s="4"/>
      <c r="I35" s="4"/>
      <c r="K35" s="744"/>
    </row>
    <row r="36" spans="2:11" ht="22.5" customHeight="1" x14ac:dyDescent="0.2">
      <c r="B36" s="572" t="s">
        <v>227</v>
      </c>
      <c r="C36" s="573"/>
      <c r="D36" s="573"/>
      <c r="E36" s="574"/>
      <c r="F36" s="6"/>
      <c r="K36" s="744"/>
    </row>
    <row r="37" spans="2:11" ht="22.5" customHeight="1" x14ac:dyDescent="0.2">
      <c r="B37" s="6"/>
      <c r="C37" s="6"/>
      <c r="D37" s="6"/>
      <c r="E37" s="6"/>
      <c r="F37" s="6"/>
      <c r="K37" s="150"/>
    </row>
    <row r="38" spans="2:11" ht="6" customHeight="1" x14ac:dyDescent="0.2">
      <c r="B38" s="6"/>
      <c r="C38" s="6"/>
      <c r="D38" s="6"/>
      <c r="E38" s="6"/>
      <c r="F38" s="6"/>
      <c r="K38" s="150"/>
    </row>
    <row r="39" spans="2:11" ht="19.5" customHeight="1" x14ac:dyDescent="0.2">
      <c r="B39" s="6"/>
      <c r="C39" s="6"/>
      <c r="D39" s="6"/>
      <c r="E39" s="6"/>
      <c r="F39" s="6"/>
      <c r="K39" s="151"/>
    </row>
    <row r="40" spans="2:11" ht="19.5" customHeight="1" x14ac:dyDescent="0.2">
      <c r="B40" s="6"/>
      <c r="C40" s="6"/>
      <c r="D40" s="6"/>
      <c r="E40" s="6"/>
      <c r="F40" s="6"/>
    </row>
    <row r="41" spans="2:11" ht="19.5" customHeight="1" x14ac:dyDescent="0.2">
      <c r="B41" s="6"/>
      <c r="C41" s="6"/>
      <c r="D41" s="6"/>
      <c r="E41" s="6"/>
      <c r="F41" s="6"/>
    </row>
    <row r="42" spans="2:11" ht="19.5" customHeight="1" x14ac:dyDescent="0.2">
      <c r="B42" s="6"/>
      <c r="C42" s="6"/>
      <c r="D42" s="6"/>
      <c r="E42" s="6"/>
      <c r="F42" s="6"/>
    </row>
    <row r="43" spans="2:11" ht="19.5" customHeight="1" x14ac:dyDescent="0.2">
      <c r="B43" s="6"/>
      <c r="C43" s="6"/>
      <c r="D43" s="6"/>
      <c r="E43" s="6"/>
      <c r="F43" s="6"/>
    </row>
    <row r="44" spans="2:11" ht="19.5" customHeight="1" x14ac:dyDescent="0.2">
      <c r="B44" s="6"/>
      <c r="C44" s="6"/>
      <c r="D44" s="6"/>
      <c r="E44" s="6"/>
      <c r="F44" s="6"/>
    </row>
    <row r="45" spans="2:11" ht="19.5" customHeight="1" x14ac:dyDescent="0.2">
      <c r="B45" s="6"/>
      <c r="C45" s="6"/>
      <c r="D45" s="6"/>
      <c r="E45" s="6"/>
      <c r="F45" s="6"/>
    </row>
    <row r="46" spans="2:11" ht="19.5" customHeight="1" x14ac:dyDescent="0.2">
      <c r="B46" s="6"/>
      <c r="C46" s="6"/>
      <c r="D46" s="6"/>
      <c r="E46" s="6"/>
      <c r="F46" s="6"/>
    </row>
    <row r="47" spans="2:11" ht="19.5" customHeight="1" x14ac:dyDescent="0.2"/>
    <row r="48" spans="2:11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1">
    <mergeCell ref="H48:J48"/>
    <mergeCell ref="B34:C34"/>
    <mergeCell ref="B36:E36"/>
    <mergeCell ref="B21:C21"/>
    <mergeCell ref="B28:C28"/>
    <mergeCell ref="B29:C29"/>
    <mergeCell ref="B22:C22"/>
    <mergeCell ref="B23:C23"/>
    <mergeCell ref="B30:C30"/>
    <mergeCell ref="B25:C25"/>
    <mergeCell ref="B26:C26"/>
    <mergeCell ref="B24:C24"/>
    <mergeCell ref="B31:C31"/>
    <mergeCell ref="B32:C32"/>
    <mergeCell ref="B33:C33"/>
    <mergeCell ref="B27:C27"/>
    <mergeCell ref="B9:J9"/>
    <mergeCell ref="B13:C13"/>
    <mergeCell ref="B15:C15"/>
    <mergeCell ref="B19:C19"/>
    <mergeCell ref="B20:C20"/>
    <mergeCell ref="B14:C14"/>
    <mergeCell ref="B16:C16"/>
    <mergeCell ref="B17:C17"/>
    <mergeCell ref="B18:C18"/>
    <mergeCell ref="K32:K36"/>
    <mergeCell ref="B2:D2"/>
    <mergeCell ref="E2:J2"/>
    <mergeCell ref="B4:C4"/>
    <mergeCell ref="D4:E4"/>
    <mergeCell ref="F4:G4"/>
    <mergeCell ref="H4:J4"/>
    <mergeCell ref="B7:C7"/>
    <mergeCell ref="D7:J7"/>
    <mergeCell ref="B5:C5"/>
    <mergeCell ref="D5:E5"/>
    <mergeCell ref="F5:G5"/>
    <mergeCell ref="H5:J5"/>
    <mergeCell ref="B6:C6"/>
    <mergeCell ref="D6:E6"/>
    <mergeCell ref="F6:G6"/>
  </mergeCells>
  <conditionalFormatting sqref="D13:G13 D14:E14 G14 D15:G16 E17:G17 G18 D19:G19 E20:G20 D21:G23 E24 G24 E25:G30">
    <cfRule type="cellIs" dxfId="44" priority="2" operator="greaterThan">
      <formula>0.25</formula>
    </cfRule>
  </conditionalFormatting>
  <pageMargins left="0.7" right="0.7" top="0.75" bottom="0.75" header="0" footer="0"/>
  <pageSetup paperSize="9" orientation="portrait" r:id="rId1"/>
  <ignoredErrors>
    <ignoredError sqref="H34" evalErro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5A96-0A0D-4ECC-8DC0-164F978DBBF3}">
  <sheetPr>
    <tabColor theme="9" tint="-0.499984740745262"/>
    <pageSetUpPr fitToPage="1"/>
  </sheetPr>
  <dimension ref="B2:K47"/>
  <sheetViews>
    <sheetView showGridLines="0" topLeftCell="A38" workbookViewId="0">
      <selection activeCell="J46" sqref="J4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5" customWidth="1"/>
    <col min="5" max="5" width="14" customWidth="1"/>
    <col min="6" max="6" width="14.140625" customWidth="1"/>
    <col min="7" max="7" width="13.7109375" customWidth="1"/>
    <col min="8" max="8" width="14.28515625" customWidth="1"/>
    <col min="9" max="9" width="13.7109375" customWidth="1"/>
    <col min="10" max="10" width="36.28515625" customWidth="1"/>
    <col min="11" max="11" width="29.28515625" customWidth="1"/>
    <col min="12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0" t="s">
        <v>354</v>
      </c>
      <c r="E12" s="100" t="s">
        <v>355</v>
      </c>
      <c r="F12" s="100" t="s">
        <v>356</v>
      </c>
      <c r="G12" s="100" t="s">
        <v>357</v>
      </c>
      <c r="H12" s="100" t="s">
        <v>358</v>
      </c>
      <c r="I12" s="100" t="s">
        <v>359</v>
      </c>
    </row>
    <row r="13" spans="2:10" ht="41.25" customHeight="1" x14ac:dyDescent="0.2">
      <c r="B13" s="667" t="s">
        <v>238</v>
      </c>
      <c r="C13" s="667"/>
      <c r="D13" s="58">
        <v>0.95</v>
      </c>
      <c r="E13" s="58">
        <v>0.93</v>
      </c>
      <c r="F13" s="58">
        <v>0.97</v>
      </c>
      <c r="G13" s="58">
        <v>0.93</v>
      </c>
      <c r="H13" s="58">
        <v>0.92</v>
      </c>
      <c r="I13" s="58">
        <v>0.94</v>
      </c>
      <c r="J13" s="121"/>
    </row>
    <row r="14" spans="2:10" ht="41.25" customHeight="1" x14ac:dyDescent="0.2">
      <c r="B14" s="667" t="s">
        <v>255</v>
      </c>
      <c r="C14" s="667"/>
      <c r="D14" s="58">
        <v>0.99</v>
      </c>
      <c r="E14" s="58">
        <v>0.95</v>
      </c>
      <c r="F14" s="58">
        <v>0.96</v>
      </c>
      <c r="G14" s="58">
        <v>0.94</v>
      </c>
      <c r="H14" s="58">
        <v>0.95</v>
      </c>
      <c r="I14" s="58">
        <v>0.79</v>
      </c>
      <c r="J14" s="121"/>
    </row>
    <row r="15" spans="2:10" ht="41.25" customHeight="1" x14ac:dyDescent="0.2">
      <c r="B15" s="667" t="s">
        <v>287</v>
      </c>
      <c r="C15" s="667"/>
      <c r="D15" s="58">
        <v>0.98</v>
      </c>
      <c r="E15" s="58">
        <v>0.85</v>
      </c>
      <c r="F15" s="58">
        <v>0.89</v>
      </c>
      <c r="G15" s="58">
        <v>0.84</v>
      </c>
      <c r="H15" s="58">
        <v>0.71</v>
      </c>
      <c r="I15" s="58">
        <v>0.96</v>
      </c>
      <c r="J15" s="121"/>
    </row>
    <row r="16" spans="2:10" ht="41.25" customHeight="1" x14ac:dyDescent="0.2">
      <c r="B16" s="667" t="s">
        <v>241</v>
      </c>
      <c r="C16" s="667"/>
      <c r="D16" s="58">
        <v>0.91</v>
      </c>
      <c r="E16" s="58">
        <v>0.91</v>
      </c>
      <c r="F16" s="58">
        <v>0.89</v>
      </c>
      <c r="G16" s="58">
        <v>0.87</v>
      </c>
      <c r="H16" s="58">
        <v>0.9</v>
      </c>
      <c r="I16" s="58">
        <v>0.91</v>
      </c>
      <c r="J16" s="121"/>
    </row>
    <row r="17" spans="2:11" ht="41.25" customHeight="1" x14ac:dyDescent="0.2">
      <c r="B17" s="667" t="s">
        <v>330</v>
      </c>
      <c r="C17" s="667"/>
      <c r="D17" s="58">
        <v>1</v>
      </c>
      <c r="E17" s="58">
        <v>0.99</v>
      </c>
      <c r="F17" s="58">
        <v>0.99</v>
      </c>
      <c r="G17" s="58">
        <v>0.99</v>
      </c>
      <c r="H17" s="58">
        <v>0.98</v>
      </c>
      <c r="I17" s="58">
        <v>0.98</v>
      </c>
      <c r="J17" s="121"/>
      <c r="K17" s="21"/>
    </row>
    <row r="18" spans="2:11" ht="41.25" customHeight="1" x14ac:dyDescent="0.2">
      <c r="B18" s="667" t="s">
        <v>331</v>
      </c>
      <c r="C18" s="667"/>
      <c r="D18" s="104" t="s">
        <v>290</v>
      </c>
      <c r="E18" s="58">
        <v>0.95</v>
      </c>
      <c r="F18" s="58">
        <v>0.97</v>
      </c>
      <c r="G18" s="58">
        <v>0.95</v>
      </c>
      <c r="H18" s="58" t="s">
        <v>231</v>
      </c>
      <c r="I18" s="58" t="s">
        <v>231</v>
      </c>
      <c r="J18" s="121"/>
      <c r="K18" s="21"/>
    </row>
    <row r="19" spans="2:11" ht="41.25" customHeight="1" x14ac:dyDescent="0.2">
      <c r="B19" s="667" t="s">
        <v>244</v>
      </c>
      <c r="C19" s="667"/>
      <c r="D19" s="58">
        <v>0.88</v>
      </c>
      <c r="E19" s="58">
        <v>0.86</v>
      </c>
      <c r="F19" s="58">
        <v>0.87</v>
      </c>
      <c r="G19" s="58">
        <v>0.84</v>
      </c>
      <c r="H19" s="58">
        <v>0.81</v>
      </c>
      <c r="I19" s="58">
        <v>0.87</v>
      </c>
      <c r="J19" s="121"/>
      <c r="K19" s="21"/>
    </row>
    <row r="20" spans="2:11" ht="41.25" customHeight="1" x14ac:dyDescent="0.2">
      <c r="B20" s="667" t="s">
        <v>246</v>
      </c>
      <c r="C20" s="667"/>
      <c r="D20" s="58">
        <v>0.81</v>
      </c>
      <c r="E20" s="58">
        <v>0.84</v>
      </c>
      <c r="F20" s="58">
        <v>0.84</v>
      </c>
      <c r="G20" s="58">
        <v>0.83</v>
      </c>
      <c r="H20" s="58">
        <v>0.84</v>
      </c>
      <c r="I20" s="58">
        <v>0.89</v>
      </c>
      <c r="J20" s="27"/>
    </row>
    <row r="21" spans="2:11" ht="41.25" customHeight="1" x14ac:dyDescent="0.2">
      <c r="B21" s="667" t="s">
        <v>247</v>
      </c>
      <c r="C21" s="667"/>
      <c r="D21" s="58">
        <v>0.94</v>
      </c>
      <c r="E21" s="58">
        <v>0.93</v>
      </c>
      <c r="F21" s="58">
        <v>0.93</v>
      </c>
      <c r="G21" s="58">
        <v>0.92</v>
      </c>
      <c r="H21" s="58">
        <v>0.92</v>
      </c>
      <c r="I21" s="58">
        <v>0.93</v>
      </c>
      <c r="J21" s="28"/>
      <c r="K21" s="53"/>
    </row>
    <row r="22" spans="2:11" ht="41.25" customHeight="1" x14ac:dyDescent="0.2">
      <c r="B22" s="667" t="s">
        <v>248</v>
      </c>
      <c r="C22" s="667"/>
      <c r="D22" s="58">
        <v>0.91</v>
      </c>
      <c r="E22" s="58">
        <v>0.87</v>
      </c>
      <c r="F22" s="58">
        <v>0.88</v>
      </c>
      <c r="G22" s="58">
        <v>0.87</v>
      </c>
      <c r="H22" s="58">
        <v>0.86</v>
      </c>
      <c r="I22" s="58">
        <v>0.71</v>
      </c>
      <c r="J22" s="28"/>
      <c r="K22" s="53"/>
    </row>
    <row r="23" spans="2:11" ht="41.25" customHeight="1" x14ac:dyDescent="0.2">
      <c r="B23" s="667" t="s">
        <v>261</v>
      </c>
      <c r="C23" s="667"/>
      <c r="D23" s="58">
        <v>0.99</v>
      </c>
      <c r="E23" s="58">
        <v>1</v>
      </c>
      <c r="F23" s="58">
        <v>0.98</v>
      </c>
      <c r="G23" s="58">
        <v>1</v>
      </c>
      <c r="H23" s="58">
        <v>1</v>
      </c>
      <c r="I23" s="58">
        <v>1</v>
      </c>
      <c r="J23" s="28"/>
      <c r="K23" s="53"/>
    </row>
    <row r="24" spans="2:11" ht="41.25" customHeight="1" x14ac:dyDescent="0.2">
      <c r="B24" s="667" t="s">
        <v>292</v>
      </c>
      <c r="C24" s="667"/>
      <c r="D24" s="58">
        <v>1</v>
      </c>
      <c r="E24" s="58">
        <v>0.96</v>
      </c>
      <c r="F24" s="58">
        <v>0.98</v>
      </c>
      <c r="G24" s="58">
        <v>1</v>
      </c>
      <c r="H24" s="58">
        <v>1</v>
      </c>
      <c r="I24" s="58">
        <v>1</v>
      </c>
      <c r="J24" s="28"/>
      <c r="K24" s="53"/>
    </row>
    <row r="25" spans="2:11" ht="41.25" customHeight="1" x14ac:dyDescent="0.2">
      <c r="B25" s="667" t="s">
        <v>263</v>
      </c>
      <c r="C25" s="667"/>
      <c r="D25" s="58">
        <v>1</v>
      </c>
      <c r="E25" s="58">
        <v>1</v>
      </c>
      <c r="F25" s="58">
        <v>0.97</v>
      </c>
      <c r="G25" s="58">
        <v>0.97</v>
      </c>
      <c r="H25" s="58">
        <v>0.98</v>
      </c>
      <c r="I25" s="58">
        <v>1</v>
      </c>
      <c r="J25" s="28"/>
      <c r="K25" s="53"/>
    </row>
    <row r="26" spans="2:11" ht="41.25" customHeight="1" x14ac:dyDescent="0.2">
      <c r="B26" s="667" t="s">
        <v>264</v>
      </c>
      <c r="C26" s="667"/>
      <c r="D26" s="58">
        <v>0.96</v>
      </c>
      <c r="E26" s="58">
        <v>0.98</v>
      </c>
      <c r="F26" s="58">
        <v>0.99</v>
      </c>
      <c r="G26" s="58">
        <v>0.99</v>
      </c>
      <c r="H26" s="58">
        <v>0.98</v>
      </c>
      <c r="I26" s="58">
        <v>1</v>
      </c>
      <c r="J26" s="28"/>
      <c r="K26" s="53"/>
    </row>
    <row r="27" spans="2:11" ht="41.25" customHeight="1" x14ac:dyDescent="0.2">
      <c r="B27" s="667" t="s">
        <v>277</v>
      </c>
      <c r="C27" s="667"/>
      <c r="D27" s="58">
        <v>0.93</v>
      </c>
      <c r="E27" s="58">
        <v>0.98</v>
      </c>
      <c r="F27" s="58">
        <v>0.98</v>
      </c>
      <c r="G27" s="58">
        <v>0.98</v>
      </c>
      <c r="H27" s="58">
        <v>1</v>
      </c>
      <c r="I27" s="58">
        <v>1</v>
      </c>
      <c r="J27" s="28"/>
      <c r="K27" s="53"/>
    </row>
    <row r="28" spans="2:11" ht="41.25" customHeight="1" x14ac:dyDescent="0.2">
      <c r="B28" s="667" t="s">
        <v>265</v>
      </c>
      <c r="C28" s="667"/>
      <c r="D28" s="58">
        <v>1</v>
      </c>
      <c r="E28" s="58">
        <v>1</v>
      </c>
      <c r="F28" s="58">
        <v>1</v>
      </c>
      <c r="G28" s="58">
        <v>0.96</v>
      </c>
      <c r="H28" s="58" t="s">
        <v>231</v>
      </c>
      <c r="I28" s="58">
        <v>1</v>
      </c>
      <c r="J28" s="28"/>
      <c r="K28" s="53"/>
    </row>
    <row r="29" spans="2:11" ht="43.5" customHeight="1" x14ac:dyDescent="0.2">
      <c r="B29" s="667" t="s">
        <v>266</v>
      </c>
      <c r="C29" s="667"/>
      <c r="D29" s="58">
        <v>1</v>
      </c>
      <c r="E29" s="58">
        <v>1</v>
      </c>
      <c r="F29" s="58">
        <v>0.98</v>
      </c>
      <c r="G29" s="58">
        <v>0.98</v>
      </c>
      <c r="H29" s="58">
        <v>0.97</v>
      </c>
      <c r="I29" s="58">
        <v>1</v>
      </c>
      <c r="K29" s="68" t="s">
        <v>228</v>
      </c>
    </row>
    <row r="30" spans="2:11" ht="22.5" customHeight="1" x14ac:dyDescent="0.25">
      <c r="B30" s="642" t="e">
        <f>D5</f>
        <v>#REF!</v>
      </c>
      <c r="C30" s="642"/>
      <c r="D30" s="51">
        <f>COUNTIF(D13:D29,"&gt;=75%")</f>
        <v>16</v>
      </c>
      <c r="E30" s="51">
        <f>COUNTIF(E13:E29,"&gt;=75%")</f>
        <v>17</v>
      </c>
      <c r="F30" s="51">
        <f>COUNTIF(F13:F29,"&gt;=75%")</f>
        <v>17</v>
      </c>
      <c r="G30" s="51">
        <f>COUNTIF(G13:G29,"&gt;=75%")</f>
        <v>17</v>
      </c>
      <c r="H30" s="51">
        <v>15</v>
      </c>
      <c r="I30" s="51">
        <v>15</v>
      </c>
      <c r="K30" s="7"/>
    </row>
    <row r="31" spans="2:11" ht="30.75" customHeight="1" x14ac:dyDescent="0.25">
      <c r="B31" s="644" t="s">
        <v>268</v>
      </c>
      <c r="C31" s="644"/>
      <c r="D31" s="51">
        <f t="shared" ref="D31:I31" si="0">COUNT(D13:D29)</f>
        <v>16</v>
      </c>
      <c r="E31" s="51">
        <f t="shared" si="0"/>
        <v>17</v>
      </c>
      <c r="F31" s="51">
        <f t="shared" si="0"/>
        <v>17</v>
      </c>
      <c r="G31" s="51">
        <f t="shared" si="0"/>
        <v>17</v>
      </c>
      <c r="H31" s="51">
        <f t="shared" si="0"/>
        <v>15</v>
      </c>
      <c r="I31" s="51">
        <f t="shared" si="0"/>
        <v>16</v>
      </c>
      <c r="K31" s="148" t="s">
        <v>360</v>
      </c>
    </row>
    <row r="32" spans="2:11" ht="22.5" customHeight="1" x14ac:dyDescent="0.2">
      <c r="B32" s="640" t="s">
        <v>225</v>
      </c>
      <c r="C32" s="706"/>
      <c r="D32" s="119" t="e">
        <f t="shared" ref="D32:I32" si="1">$D5</f>
        <v>#REF!</v>
      </c>
      <c r="E32" s="119" t="e">
        <f t="shared" si="1"/>
        <v>#REF!</v>
      </c>
      <c r="F32" s="119" t="e">
        <f t="shared" si="1"/>
        <v>#REF!</v>
      </c>
      <c r="G32" s="119" t="e">
        <f t="shared" si="1"/>
        <v>#REF!</v>
      </c>
      <c r="H32" s="119" t="e">
        <f t="shared" si="1"/>
        <v>#REF!</v>
      </c>
      <c r="I32" s="119" t="e">
        <f t="shared" si="1"/>
        <v>#REF!</v>
      </c>
      <c r="K32" s="169" t="s">
        <v>361</v>
      </c>
    </row>
    <row r="33" spans="2:10" ht="22.5" customHeight="1" x14ac:dyDescent="0.2">
      <c r="B33" s="640" t="s">
        <v>226</v>
      </c>
      <c r="C33" s="706"/>
      <c r="D33" s="101">
        <f t="shared" ref="D33:I33" si="2">D30/D31</f>
        <v>1</v>
      </c>
      <c r="E33" s="101">
        <f t="shared" si="2"/>
        <v>1</v>
      </c>
      <c r="F33" s="101">
        <f t="shared" si="2"/>
        <v>1</v>
      </c>
      <c r="G33" s="101">
        <f t="shared" si="2"/>
        <v>1</v>
      </c>
      <c r="H33" s="57">
        <v>0.9375</v>
      </c>
      <c r="I33" s="57">
        <f t="shared" si="2"/>
        <v>0.9375</v>
      </c>
    </row>
    <row r="34" spans="2:10" ht="22.5" customHeight="1" x14ac:dyDescent="0.25">
      <c r="B34" s="5"/>
      <c r="C34" s="5"/>
      <c r="D34" s="4"/>
      <c r="E34" s="4"/>
      <c r="F34" s="4"/>
      <c r="G34" s="4"/>
      <c r="H34" s="4"/>
      <c r="I34" s="4"/>
    </row>
    <row r="35" spans="2:10" ht="22.5" customHeight="1" x14ac:dyDescent="0.2">
      <c r="B35" s="572" t="s">
        <v>227</v>
      </c>
      <c r="C35" s="573"/>
      <c r="D35" s="573"/>
      <c r="E35" s="574"/>
      <c r="F35" s="6"/>
    </row>
    <row r="36" spans="2:10" ht="22.5" customHeight="1" x14ac:dyDescent="0.2">
      <c r="B36" s="6"/>
      <c r="C36" s="6"/>
      <c r="D36" s="6"/>
      <c r="E36" s="6"/>
      <c r="F36" s="6"/>
    </row>
    <row r="37" spans="2:10" ht="6" customHeight="1" x14ac:dyDescent="0.2">
      <c r="B37" s="6"/>
      <c r="C37" s="6"/>
      <c r="D37" s="6"/>
      <c r="E37" s="6"/>
      <c r="F37" s="6"/>
    </row>
    <row r="38" spans="2:10" ht="19.5" customHeight="1" x14ac:dyDescent="0.2">
      <c r="B38" s="6"/>
      <c r="C38" s="6"/>
      <c r="D38" s="6"/>
      <c r="E38" s="6"/>
      <c r="F38" s="6"/>
    </row>
    <row r="39" spans="2:10" ht="19.5" customHeight="1" x14ac:dyDescent="0.2">
      <c r="B39" s="6"/>
      <c r="C39" s="6"/>
      <c r="D39" s="6"/>
      <c r="E39" s="6"/>
      <c r="F39" s="6"/>
    </row>
    <row r="40" spans="2:10" ht="19.5" customHeight="1" x14ac:dyDescent="0.2">
      <c r="B40" s="6"/>
      <c r="C40" s="6"/>
      <c r="D40" s="6"/>
      <c r="E40" s="6"/>
      <c r="F40" s="6"/>
    </row>
    <row r="41" spans="2:10" ht="19.5" customHeight="1" x14ac:dyDescent="0.2">
      <c r="B41" s="6"/>
      <c r="C41" s="6"/>
      <c r="D41" s="6"/>
      <c r="E41" s="6"/>
      <c r="F41" s="6"/>
    </row>
    <row r="42" spans="2:10" ht="19.5" customHeight="1" x14ac:dyDescent="0.2">
      <c r="B42" s="6"/>
      <c r="C42" s="6"/>
      <c r="D42" s="6"/>
      <c r="E42" s="6"/>
      <c r="F42" s="6"/>
    </row>
    <row r="43" spans="2:10" ht="19.5" customHeight="1" x14ac:dyDescent="0.2">
      <c r="B43" s="6"/>
      <c r="C43" s="6"/>
      <c r="D43" s="6"/>
      <c r="E43" s="6"/>
      <c r="F43" s="6"/>
    </row>
    <row r="44" spans="2:10" ht="19.5" customHeight="1" x14ac:dyDescent="0.2">
      <c r="B44" s="6"/>
      <c r="C44" s="6"/>
      <c r="D44" s="6"/>
      <c r="E44" s="6"/>
      <c r="F44" s="6"/>
    </row>
    <row r="45" spans="2:10" ht="19.5" customHeight="1" x14ac:dyDescent="0.2">
      <c r="B45" s="6"/>
      <c r="C45" s="6"/>
      <c r="D45" s="6"/>
      <c r="E45" s="6"/>
      <c r="F45" s="6"/>
    </row>
    <row r="46" spans="2:10" ht="19.5" customHeight="1" x14ac:dyDescent="0.2"/>
    <row r="47" spans="2:10" ht="19.5" customHeight="1" x14ac:dyDescent="0.2">
      <c r="H47" s="568" t="s">
        <v>169</v>
      </c>
      <c r="I47" s="569"/>
      <c r="J47" s="569"/>
    </row>
  </sheetData>
  <sheetProtection sheet="1" formatCells="0" formatColumns="0" formatRows="0" insertColumns="0" insertRows="0" insertHyperlinks="0" deleteColumns="0" deleteRows="0" pivotTables="0"/>
  <mergeCells count="39">
    <mergeCell ref="H47:J47"/>
    <mergeCell ref="B26:C26"/>
    <mergeCell ref="B27:C27"/>
    <mergeCell ref="B28:C28"/>
    <mergeCell ref="B29:C29"/>
    <mergeCell ref="B30:C30"/>
    <mergeCell ref="B31:C31"/>
    <mergeCell ref="B32:C32"/>
    <mergeCell ref="B33:C33"/>
    <mergeCell ref="B35:E35"/>
    <mergeCell ref="B25:C25"/>
    <mergeCell ref="B9:J9"/>
    <mergeCell ref="B13:C13"/>
    <mergeCell ref="B14:C14"/>
    <mergeCell ref="B19:C19"/>
    <mergeCell ref="B20:C20"/>
    <mergeCell ref="B21:C21"/>
    <mergeCell ref="B22:C22"/>
    <mergeCell ref="B23:C23"/>
    <mergeCell ref="B24:C24"/>
    <mergeCell ref="B16:C16"/>
    <mergeCell ref="B17:C17"/>
    <mergeCell ref="B18:C18"/>
    <mergeCell ref="B15:C15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29">
    <cfRule type="cellIs" dxfId="43" priority="1" operator="lessThan">
      <formula>0.75</formula>
    </cfRule>
  </conditionalFormatting>
  <pageMargins left="0.7" right="0.7" top="0.75" bottom="0.75" header="0" footer="0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0CF6A-F5EF-4FD1-81F0-D989B76A67A0}">
  <sheetPr>
    <tabColor theme="9" tint="-0.499984740745262"/>
    <pageSetUpPr fitToPage="1"/>
  </sheetPr>
  <dimension ref="B2:N65"/>
  <sheetViews>
    <sheetView showGridLines="0" topLeftCell="A39" workbookViewId="0">
      <selection activeCell="J47" sqref="J4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362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751" t="s">
        <v>217</v>
      </c>
      <c r="C9" s="752"/>
      <c r="D9" s="752"/>
      <c r="E9" s="752"/>
      <c r="F9" s="752"/>
      <c r="G9" s="752"/>
      <c r="H9" s="752"/>
      <c r="I9" s="573"/>
      <c r="J9" s="574"/>
    </row>
    <row r="10" spans="2:10" ht="22.5" customHeight="1" x14ac:dyDescent="0.2">
      <c r="B10" s="496"/>
      <c r="C10" s="496"/>
      <c r="D10" s="89" t="s">
        <v>219</v>
      </c>
      <c r="E10" s="89" t="s">
        <v>220</v>
      </c>
      <c r="F10" s="89" t="s">
        <v>221</v>
      </c>
      <c r="G10" s="89" t="s">
        <v>222</v>
      </c>
      <c r="H10" s="89" t="s">
        <v>223</v>
      </c>
      <c r="I10" s="11"/>
      <c r="J10" s="11"/>
    </row>
    <row r="11" spans="2:10" ht="22.5" customHeight="1" x14ac:dyDescent="0.2">
      <c r="B11" s="597" t="s">
        <v>238</v>
      </c>
      <c r="C11" s="597"/>
      <c r="D11" s="29">
        <v>3.01</v>
      </c>
      <c r="E11" s="29">
        <v>3.13</v>
      </c>
      <c r="F11" s="29">
        <v>3.02</v>
      </c>
      <c r="G11" s="29">
        <v>3.09</v>
      </c>
      <c r="H11" s="29">
        <v>3.0249999999999999</v>
      </c>
      <c r="I11" s="11"/>
      <c r="J11" s="11"/>
    </row>
    <row r="12" spans="2:10" ht="28.5" customHeight="1" x14ac:dyDescent="0.2">
      <c r="B12" s="597" t="s">
        <v>337</v>
      </c>
      <c r="C12" s="597"/>
      <c r="D12" s="29" t="s">
        <v>311</v>
      </c>
      <c r="E12" s="29">
        <v>3.01</v>
      </c>
      <c r="F12" s="29" t="s">
        <v>311</v>
      </c>
      <c r="G12" s="29" t="s">
        <v>311</v>
      </c>
      <c r="H12" s="29" t="s">
        <v>311</v>
      </c>
      <c r="I12" s="11"/>
      <c r="J12" s="11"/>
    </row>
    <row r="13" spans="2:10" ht="22.5" customHeight="1" x14ac:dyDescent="0.2">
      <c r="B13" s="597" t="s">
        <v>240</v>
      </c>
      <c r="C13" s="597"/>
      <c r="D13" s="29" t="s">
        <v>363</v>
      </c>
      <c r="E13" s="29" t="s">
        <v>363</v>
      </c>
      <c r="F13" s="29">
        <v>2.57</v>
      </c>
      <c r="G13" s="29">
        <v>3.17</v>
      </c>
      <c r="H13" s="29">
        <v>3.0950000000000002</v>
      </c>
      <c r="I13" s="11"/>
      <c r="J13" s="11"/>
    </row>
    <row r="14" spans="2:10" ht="22.5" customHeight="1" x14ac:dyDescent="0.2">
      <c r="B14" s="597" t="s">
        <v>241</v>
      </c>
      <c r="C14" s="597"/>
      <c r="D14" s="29">
        <v>3.13</v>
      </c>
      <c r="E14" s="29">
        <v>3.01</v>
      </c>
      <c r="F14" s="29">
        <v>3.16</v>
      </c>
      <c r="G14" s="29">
        <v>3.25</v>
      </c>
      <c r="H14" s="29">
        <v>3.1749999999999998</v>
      </c>
      <c r="I14" s="11"/>
      <c r="J14" s="11"/>
    </row>
    <row r="15" spans="2:10" ht="22.5" customHeight="1" x14ac:dyDescent="0.2">
      <c r="B15" s="597" t="s">
        <v>330</v>
      </c>
      <c r="C15" s="597"/>
      <c r="D15" s="29" t="s">
        <v>311</v>
      </c>
      <c r="E15" s="29">
        <v>3.11</v>
      </c>
      <c r="F15" s="29">
        <v>3.16</v>
      </c>
      <c r="G15" s="29">
        <v>3.19</v>
      </c>
      <c r="H15" s="29">
        <v>3.11</v>
      </c>
      <c r="I15" s="11"/>
      <c r="J15" s="11"/>
    </row>
    <row r="16" spans="2:10" ht="22.5" customHeight="1" x14ac:dyDescent="0.2">
      <c r="B16" s="597" t="s">
        <v>331</v>
      </c>
      <c r="C16" s="597"/>
      <c r="D16" s="29" t="s">
        <v>311</v>
      </c>
      <c r="E16" s="29">
        <v>3.11</v>
      </c>
      <c r="F16" s="29">
        <v>2.99</v>
      </c>
      <c r="G16" s="29">
        <v>2.99</v>
      </c>
      <c r="H16" s="29">
        <v>3.04</v>
      </c>
      <c r="I16" s="11"/>
      <c r="J16" s="11"/>
    </row>
    <row r="17" spans="2:10" ht="22.5" customHeight="1" x14ac:dyDescent="0.2">
      <c r="B17" s="597" t="s">
        <v>244</v>
      </c>
      <c r="C17" s="597"/>
      <c r="D17" s="481">
        <v>2.89</v>
      </c>
      <c r="E17" s="29">
        <v>2.88</v>
      </c>
      <c r="F17" s="29">
        <v>2.99</v>
      </c>
      <c r="G17" s="29">
        <v>3.19</v>
      </c>
      <c r="H17" s="29">
        <v>3.0550000000000002</v>
      </c>
      <c r="I17" s="11"/>
      <c r="J17" s="11"/>
    </row>
    <row r="18" spans="2:10" ht="22.5" customHeight="1" x14ac:dyDescent="0.2">
      <c r="B18" s="597" t="s">
        <v>344</v>
      </c>
      <c r="C18" s="597"/>
      <c r="D18" s="29">
        <v>3.22</v>
      </c>
      <c r="E18" s="29">
        <v>3.36</v>
      </c>
      <c r="F18" s="29">
        <v>3.13</v>
      </c>
      <c r="G18" s="29">
        <v>3.22</v>
      </c>
      <c r="H18" s="29">
        <v>3.0750000000000002</v>
      </c>
      <c r="I18" s="11"/>
      <c r="J18" s="11"/>
    </row>
    <row r="19" spans="2:10" ht="22.5" customHeight="1" x14ac:dyDescent="0.2">
      <c r="B19" s="597" t="s">
        <v>246</v>
      </c>
      <c r="C19" s="597"/>
      <c r="D19" s="29">
        <v>3.22</v>
      </c>
      <c r="E19" s="29">
        <v>3.26</v>
      </c>
      <c r="F19" s="29">
        <v>3.3</v>
      </c>
      <c r="G19" s="29">
        <v>3.26</v>
      </c>
      <c r="H19" s="29">
        <v>3.36</v>
      </c>
      <c r="I19" s="11"/>
      <c r="J19" s="11"/>
    </row>
    <row r="20" spans="2:10" ht="28.5" customHeight="1" x14ac:dyDescent="0.2">
      <c r="B20" s="597" t="s">
        <v>247</v>
      </c>
      <c r="C20" s="597"/>
      <c r="D20" s="29">
        <v>3.12</v>
      </c>
      <c r="E20" s="29">
        <v>3.1</v>
      </c>
      <c r="F20" s="29">
        <v>3.07</v>
      </c>
      <c r="G20" s="29">
        <v>3.28</v>
      </c>
      <c r="H20" s="29">
        <v>3.26</v>
      </c>
      <c r="I20" s="11"/>
      <c r="J20" s="11"/>
    </row>
    <row r="21" spans="2:10" ht="22.5" customHeight="1" x14ac:dyDescent="0.2">
      <c r="B21" s="597" t="s">
        <v>248</v>
      </c>
      <c r="C21" s="597"/>
      <c r="D21" s="29">
        <v>3.11</v>
      </c>
      <c r="E21" s="29">
        <v>3.15</v>
      </c>
      <c r="F21" s="29">
        <v>3.08</v>
      </c>
      <c r="G21" s="29">
        <v>3.22</v>
      </c>
      <c r="H21" s="29">
        <v>3.1949999999999998</v>
      </c>
      <c r="I21" s="11"/>
      <c r="J21" s="11"/>
    </row>
    <row r="22" spans="2:10" ht="42.75" customHeight="1" x14ac:dyDescent="0.2">
      <c r="B22" s="597" t="s">
        <v>261</v>
      </c>
      <c r="C22" s="597"/>
      <c r="D22" s="29">
        <v>3.08</v>
      </c>
      <c r="E22" s="481">
        <v>2.97</v>
      </c>
      <c r="F22" s="29" t="s">
        <v>311</v>
      </c>
      <c r="G22" s="29">
        <v>3.62</v>
      </c>
      <c r="H22" s="29">
        <v>3.32</v>
      </c>
      <c r="I22" s="11"/>
      <c r="J22" s="11"/>
    </row>
    <row r="23" spans="2:10" ht="28.5" customHeight="1" x14ac:dyDescent="0.2">
      <c r="B23" s="597" t="s">
        <v>292</v>
      </c>
      <c r="C23" s="597"/>
      <c r="D23" s="29">
        <v>3</v>
      </c>
      <c r="E23" s="29">
        <v>2.91</v>
      </c>
      <c r="F23" s="29">
        <v>3.4</v>
      </c>
      <c r="G23" s="29">
        <v>3.12</v>
      </c>
      <c r="H23" s="29">
        <v>3.89</v>
      </c>
      <c r="I23" s="11"/>
      <c r="J23" s="11"/>
    </row>
    <row r="24" spans="2:10" ht="28.5" customHeight="1" x14ac:dyDescent="0.2">
      <c r="B24" s="597" t="s">
        <v>263</v>
      </c>
      <c r="C24" s="597"/>
      <c r="D24" s="29">
        <v>3.25</v>
      </c>
      <c r="E24" s="29">
        <v>3.29</v>
      </c>
      <c r="F24" s="29">
        <v>3.63</v>
      </c>
      <c r="G24" s="29">
        <v>3.64</v>
      </c>
      <c r="H24" s="29">
        <v>3.54</v>
      </c>
      <c r="I24" s="11"/>
      <c r="J24" s="11"/>
    </row>
    <row r="25" spans="2:10" ht="28.5" customHeight="1" x14ac:dyDescent="0.2">
      <c r="B25" s="597" t="s">
        <v>264</v>
      </c>
      <c r="C25" s="597"/>
      <c r="D25" s="29">
        <v>3.02</v>
      </c>
      <c r="E25" s="29">
        <v>3.32</v>
      </c>
      <c r="F25" s="29">
        <v>2.77</v>
      </c>
      <c r="G25" s="29">
        <v>3.09</v>
      </c>
      <c r="H25" s="29" t="s">
        <v>311</v>
      </c>
      <c r="I25" s="11"/>
      <c r="J25" s="11"/>
    </row>
    <row r="26" spans="2:10" ht="28.5" customHeight="1" x14ac:dyDescent="0.2">
      <c r="B26" s="597" t="s">
        <v>277</v>
      </c>
      <c r="C26" s="597"/>
      <c r="D26" s="481">
        <v>2.95</v>
      </c>
      <c r="E26" s="29">
        <v>3.12</v>
      </c>
      <c r="F26" s="29" t="s">
        <v>311</v>
      </c>
      <c r="G26" s="481">
        <v>2.52</v>
      </c>
      <c r="H26" s="494">
        <v>3.09</v>
      </c>
      <c r="I26" s="11"/>
      <c r="J26" s="11"/>
    </row>
    <row r="27" spans="2:10" ht="22.5" customHeight="1" x14ac:dyDescent="0.2">
      <c r="B27" s="597" t="s">
        <v>265</v>
      </c>
      <c r="C27" s="597"/>
      <c r="D27" s="29">
        <v>3.43</v>
      </c>
      <c r="E27" s="29">
        <v>3.19</v>
      </c>
      <c r="F27" s="29" t="s">
        <v>311</v>
      </c>
      <c r="G27" s="29" t="s">
        <v>311</v>
      </c>
      <c r="H27" s="481">
        <v>1.7549999999999999</v>
      </c>
      <c r="I27" s="11"/>
      <c r="J27" s="11"/>
    </row>
    <row r="28" spans="2:10" ht="42.75" customHeight="1" x14ac:dyDescent="0.2">
      <c r="B28" s="597" t="s">
        <v>266</v>
      </c>
      <c r="C28" s="597"/>
      <c r="D28" s="29">
        <v>3.05</v>
      </c>
      <c r="E28" s="29">
        <v>2.84</v>
      </c>
      <c r="F28" s="29" t="s">
        <v>311</v>
      </c>
      <c r="G28" s="29" t="s">
        <v>311</v>
      </c>
      <c r="H28" s="481">
        <v>1.52</v>
      </c>
      <c r="I28" s="11"/>
      <c r="J28" s="11"/>
    </row>
    <row r="29" spans="2:10" ht="47.25" customHeight="1" x14ac:dyDescent="0.2">
      <c r="B29" s="597" t="s">
        <v>364</v>
      </c>
      <c r="C29" s="597"/>
      <c r="D29" s="29" t="s">
        <v>231</v>
      </c>
      <c r="E29" s="29" t="s">
        <v>231</v>
      </c>
      <c r="F29" s="29" t="s">
        <v>231</v>
      </c>
      <c r="G29" s="29" t="s">
        <v>365</v>
      </c>
      <c r="H29" s="29" t="s">
        <v>366</v>
      </c>
      <c r="I29" s="11"/>
      <c r="J29" s="11"/>
    </row>
    <row r="30" spans="2:10" ht="57" customHeight="1" x14ac:dyDescent="0.2">
      <c r="B30" s="597" t="s">
        <v>367</v>
      </c>
      <c r="C30" s="597"/>
      <c r="D30" s="29">
        <v>13</v>
      </c>
      <c r="E30" s="29">
        <v>14</v>
      </c>
      <c r="F30" s="29">
        <v>9</v>
      </c>
      <c r="G30" s="29">
        <v>13</v>
      </c>
      <c r="H30" s="29">
        <v>14</v>
      </c>
      <c r="I30" s="11"/>
      <c r="J30" s="11"/>
    </row>
    <row r="31" spans="2:10" ht="22.5" customHeight="1" x14ac:dyDescent="0.2">
      <c r="B31" s="747" t="s">
        <v>268</v>
      </c>
      <c r="C31" s="747"/>
      <c r="D31" s="34">
        <v>15</v>
      </c>
      <c r="E31" s="34">
        <v>18</v>
      </c>
      <c r="F31" s="34">
        <v>13</v>
      </c>
      <c r="G31" s="34">
        <v>15</v>
      </c>
      <c r="H31" s="34">
        <v>16</v>
      </c>
      <c r="I31" s="11"/>
      <c r="J31" s="11"/>
    </row>
    <row r="32" spans="2:10" ht="22.5" customHeight="1" x14ac:dyDescent="0.2">
      <c r="B32" s="495" t="s">
        <v>225</v>
      </c>
      <c r="C32" s="495" t="s">
        <v>368</v>
      </c>
      <c r="D32" s="34">
        <v>3</v>
      </c>
      <c r="E32" s="34">
        <v>3</v>
      </c>
      <c r="F32" s="34">
        <v>3</v>
      </c>
      <c r="G32" s="34">
        <v>3</v>
      </c>
      <c r="H32" s="34">
        <v>3</v>
      </c>
      <c r="I32" s="11"/>
      <c r="J32" s="11"/>
    </row>
    <row r="33" spans="2:14" ht="22.5" customHeight="1" x14ac:dyDescent="0.2">
      <c r="B33" s="746" t="s">
        <v>226</v>
      </c>
      <c r="C33" s="746"/>
      <c r="D33" s="36">
        <v>0.86670000000000003</v>
      </c>
      <c r="E33" s="36">
        <v>0.77780000000000005</v>
      </c>
      <c r="F33" s="36">
        <v>0.69230000000000003</v>
      </c>
      <c r="G33" s="36">
        <v>0.86670000000000003</v>
      </c>
      <c r="H33" s="36">
        <v>0.875</v>
      </c>
      <c r="I33" s="11"/>
      <c r="J33" s="11"/>
    </row>
    <row r="34" spans="2:14" ht="22.5" customHeight="1" x14ac:dyDescent="0.2">
      <c r="B34" s="12"/>
      <c r="C34" s="11"/>
      <c r="D34" s="11"/>
      <c r="E34" s="11"/>
      <c r="F34" s="11"/>
      <c r="G34" s="11"/>
      <c r="H34" s="11"/>
      <c r="I34" s="11"/>
      <c r="J34" s="11"/>
    </row>
    <row r="35" spans="2:14" ht="22.5" customHeight="1" x14ac:dyDescent="0.2">
      <c r="B35" s="572" t="s">
        <v>227</v>
      </c>
      <c r="C35" s="573"/>
      <c r="D35" s="573"/>
      <c r="E35" s="574"/>
      <c r="F35" s="11"/>
      <c r="G35" s="11"/>
      <c r="H35" s="11"/>
      <c r="I35" s="11"/>
      <c r="J35" s="11"/>
    </row>
    <row r="36" spans="2:14" ht="22.5" customHeight="1" x14ac:dyDescent="0.2">
      <c r="B36" s="12"/>
      <c r="C36" s="11"/>
      <c r="D36" s="11"/>
      <c r="E36" s="11"/>
      <c r="F36" s="11"/>
      <c r="G36" s="11"/>
      <c r="H36" s="11"/>
      <c r="I36" s="11"/>
      <c r="J36" s="11"/>
    </row>
    <row r="37" spans="2:14" ht="22.5" customHeight="1" x14ac:dyDescent="0.2">
      <c r="B37" s="12"/>
      <c r="C37" s="11"/>
      <c r="D37" s="11"/>
      <c r="E37" s="11"/>
      <c r="F37" s="11"/>
      <c r="G37" s="11"/>
      <c r="H37" s="11"/>
      <c r="I37" s="11"/>
      <c r="J37" s="11"/>
    </row>
    <row r="38" spans="2:14" ht="22.5" customHeight="1" x14ac:dyDescent="0.2">
      <c r="B38" s="12"/>
      <c r="C38" s="11"/>
      <c r="D38" s="11"/>
      <c r="E38" s="11"/>
      <c r="F38" s="11"/>
      <c r="G38" s="11"/>
      <c r="H38" s="11"/>
      <c r="I38" s="11"/>
      <c r="J38" s="11"/>
      <c r="K38" s="572" t="s">
        <v>228</v>
      </c>
      <c r="L38" s="573"/>
      <c r="M38" s="573"/>
      <c r="N38" s="574"/>
    </row>
    <row r="39" spans="2:14" ht="22.5" customHeight="1" x14ac:dyDescent="0.2">
      <c r="B39" s="12"/>
      <c r="C39" s="11"/>
      <c r="D39" s="11"/>
      <c r="E39" s="11"/>
      <c r="F39" s="11"/>
      <c r="G39" s="11"/>
      <c r="H39" s="11"/>
      <c r="I39" s="11"/>
      <c r="J39" s="11"/>
      <c r="K39" s="7"/>
      <c r="L39" s="7"/>
      <c r="M39" s="7"/>
      <c r="N39" s="7"/>
    </row>
    <row r="40" spans="2:14" ht="22.5" customHeight="1" x14ac:dyDescent="0.2">
      <c r="B40" s="12"/>
      <c r="C40" s="11"/>
      <c r="D40" s="11"/>
      <c r="E40" s="11"/>
      <c r="F40" s="11"/>
      <c r="G40" s="11"/>
      <c r="H40" s="11"/>
      <c r="I40" s="11"/>
      <c r="J40" s="11"/>
      <c r="K40" s="610" t="s">
        <v>169</v>
      </c>
      <c r="L40" s="560"/>
      <c r="M40" s="560"/>
      <c r="N40" s="561"/>
    </row>
    <row r="41" spans="2:14" ht="22.5" customHeight="1" x14ac:dyDescent="0.2">
      <c r="B41" s="12"/>
      <c r="C41" s="11"/>
      <c r="D41" s="11"/>
      <c r="E41" s="11"/>
      <c r="F41" s="11"/>
      <c r="G41" s="11"/>
      <c r="H41" s="11"/>
      <c r="I41" s="11"/>
      <c r="J41" s="11"/>
      <c r="K41" s="562"/>
      <c r="L41" s="563"/>
      <c r="M41" s="563"/>
      <c r="N41" s="564"/>
    </row>
    <row r="42" spans="2:14" ht="22.5" customHeight="1" x14ac:dyDescent="0.2">
      <c r="B42" s="12"/>
      <c r="C42" s="11"/>
      <c r="D42" s="11"/>
      <c r="E42" s="11"/>
      <c r="F42" s="11"/>
      <c r="G42" s="11"/>
      <c r="H42" s="11"/>
      <c r="I42" s="11"/>
      <c r="J42" s="11"/>
      <c r="K42" s="562"/>
      <c r="L42" s="563"/>
      <c r="M42" s="563"/>
      <c r="N42" s="564"/>
    </row>
    <row r="43" spans="2:14" ht="22.5" customHeight="1" x14ac:dyDescent="0.2">
      <c r="B43" s="12"/>
      <c r="C43" s="11"/>
      <c r="D43" s="11"/>
      <c r="E43" s="11"/>
      <c r="F43" s="11"/>
      <c r="G43" s="11"/>
      <c r="H43" s="11"/>
      <c r="I43" s="11"/>
      <c r="J43" s="11"/>
      <c r="K43" s="562"/>
      <c r="L43" s="563"/>
      <c r="M43" s="563"/>
      <c r="N43" s="564"/>
    </row>
    <row r="44" spans="2:14" ht="22.5" customHeight="1" x14ac:dyDescent="0.2">
      <c r="B44" s="12"/>
      <c r="C44" s="11"/>
      <c r="D44" s="11"/>
      <c r="E44" s="11"/>
      <c r="F44" s="11"/>
      <c r="G44" s="11"/>
      <c r="H44" s="11"/>
      <c r="I44" s="11"/>
      <c r="J44" s="11"/>
      <c r="K44" s="562"/>
      <c r="L44" s="563"/>
      <c r="M44" s="563"/>
      <c r="N44" s="564"/>
    </row>
    <row r="45" spans="2:14" ht="22.5" customHeight="1" x14ac:dyDescent="0.2">
      <c r="B45" s="12"/>
      <c r="C45" s="11"/>
      <c r="D45" s="11"/>
      <c r="E45" s="11"/>
      <c r="F45" s="11"/>
      <c r="G45" s="11"/>
      <c r="H45" s="11"/>
      <c r="I45" s="11"/>
      <c r="J45" s="11"/>
      <c r="K45" s="562"/>
      <c r="L45" s="563"/>
      <c r="M45" s="563"/>
      <c r="N45" s="564"/>
    </row>
    <row r="46" spans="2:14" ht="22.5" customHeight="1" x14ac:dyDescent="0.2">
      <c r="B46" s="12"/>
      <c r="C46" s="11"/>
      <c r="D46" s="11"/>
      <c r="E46" s="11"/>
      <c r="F46" s="11"/>
      <c r="G46" s="11"/>
      <c r="H46" s="11"/>
      <c r="I46" s="11"/>
      <c r="J46" s="11"/>
      <c r="K46" s="562"/>
      <c r="L46" s="563"/>
      <c r="M46" s="563"/>
      <c r="N46" s="564"/>
    </row>
    <row r="47" spans="2:14" ht="22.5" customHeight="1" x14ac:dyDescent="0.2">
      <c r="B47" s="12"/>
      <c r="C47" s="11"/>
      <c r="D47" s="11"/>
      <c r="E47" s="11"/>
      <c r="F47" s="11"/>
      <c r="G47" s="11"/>
      <c r="H47" s="11"/>
      <c r="I47" s="11"/>
      <c r="J47" s="11"/>
      <c r="K47" s="562"/>
      <c r="L47" s="563"/>
      <c r="M47" s="563"/>
      <c r="N47" s="564"/>
    </row>
    <row r="48" spans="2:14" ht="22.5" customHeight="1" x14ac:dyDescent="0.2">
      <c r="B48" s="12"/>
      <c r="C48" s="11"/>
      <c r="D48" s="11"/>
      <c r="E48" s="11"/>
      <c r="F48" s="11"/>
      <c r="G48" s="11"/>
      <c r="H48" s="11"/>
      <c r="I48" s="11"/>
      <c r="J48" s="11"/>
      <c r="K48" s="565"/>
      <c r="L48" s="566"/>
      <c r="M48" s="566"/>
      <c r="N48" s="567"/>
    </row>
    <row r="53" spans="2:5" ht="22.5" customHeight="1" x14ac:dyDescent="0.2">
      <c r="B53" s="748" t="s">
        <v>169</v>
      </c>
      <c r="C53" s="749"/>
      <c r="D53" s="749"/>
      <c r="E53" s="750"/>
    </row>
    <row r="65" spans="8:10" ht="19.5" customHeight="1" x14ac:dyDescent="0.2">
      <c r="H65" s="568" t="s">
        <v>169</v>
      </c>
      <c r="I65" s="569"/>
      <c r="J65" s="569"/>
    </row>
  </sheetData>
  <sheetProtection sheet="1" formatCells="0" formatColumns="0" formatRows="0" insertColumns="0" insertRows="0" insertHyperlinks="0" deleteColumns="0" deleteRows="0" pivotTables="0"/>
  <mergeCells count="43">
    <mergeCell ref="H65:J65"/>
    <mergeCell ref="B53:E53"/>
    <mergeCell ref="K38:N38"/>
    <mergeCell ref="K40:N48"/>
    <mergeCell ref="B9:J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  <mergeCell ref="B22:C22"/>
    <mergeCell ref="B23:C23"/>
    <mergeCell ref="B24:C24"/>
    <mergeCell ref="B25:C25"/>
    <mergeCell ref="B31:C31"/>
    <mergeCell ref="B33:C33"/>
    <mergeCell ref="B35:E35"/>
    <mergeCell ref="B26:C26"/>
    <mergeCell ref="B27:C27"/>
    <mergeCell ref="B28:C28"/>
    <mergeCell ref="B29:C29"/>
    <mergeCell ref="B30:C30"/>
  </mergeCells>
  <pageMargins left="0.7" right="0.7" top="0.75" bottom="0.75" header="0" footer="0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9D75-B43A-44D7-99FD-312966191765}">
  <sheetPr>
    <tabColor theme="9" tint="-0.499984740745262"/>
    <pageSetUpPr fitToPage="1"/>
  </sheetPr>
  <dimension ref="B2:J44"/>
  <sheetViews>
    <sheetView showGridLines="0" topLeftCell="A28" workbookViewId="0">
      <selection activeCell="J39" sqref="J3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235</v>
      </c>
      <c r="I5" s="611"/>
      <c r="J5" s="612"/>
    </row>
    <row r="6" spans="2:10" ht="22.5" customHeight="1" x14ac:dyDescent="0.2">
      <c r="B6" s="572" t="s">
        <v>213</v>
      </c>
      <c r="C6" s="574"/>
      <c r="D6" s="758" t="s">
        <v>214</v>
      </c>
      <c r="E6" s="686"/>
      <c r="F6" s="572" t="s">
        <v>236</v>
      </c>
      <c r="G6" s="574"/>
      <c r="H6" s="107" t="e">
        <f>#REF!</f>
        <v>#REF!</v>
      </c>
      <c r="I6" s="38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17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thickBot="1" x14ac:dyDescent="0.25">
      <c r="B10" s="17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thickBot="1" x14ac:dyDescent="0.25">
      <c r="B11" s="175"/>
      <c r="C11" s="175"/>
      <c r="D11" s="176" t="s">
        <v>219</v>
      </c>
      <c r="E11" s="177" t="s">
        <v>220</v>
      </c>
      <c r="F11" s="177" t="s">
        <v>221</v>
      </c>
      <c r="G11" s="177" t="s">
        <v>222</v>
      </c>
      <c r="H11" s="177" t="s">
        <v>223</v>
      </c>
      <c r="I11" s="11"/>
      <c r="J11" s="11"/>
    </row>
    <row r="12" spans="2:10" ht="22.5" customHeight="1" thickBot="1" x14ac:dyDescent="0.25">
      <c r="B12" s="753" t="s">
        <v>238</v>
      </c>
      <c r="C12" s="754"/>
      <c r="D12" s="129" t="s">
        <v>369</v>
      </c>
      <c r="E12" s="129" t="s">
        <v>369</v>
      </c>
      <c r="F12" s="129" t="s">
        <v>369</v>
      </c>
      <c r="G12" s="129" t="s">
        <v>369</v>
      </c>
      <c r="H12" s="202" t="s">
        <v>370</v>
      </c>
      <c r="I12" s="11"/>
      <c r="J12" s="11"/>
    </row>
    <row r="13" spans="2:10" ht="22.5" customHeight="1" thickBot="1" x14ac:dyDescent="0.25">
      <c r="B13" s="753" t="s">
        <v>287</v>
      </c>
      <c r="C13" s="754"/>
      <c r="D13" s="129" t="s">
        <v>369</v>
      </c>
      <c r="E13" s="178" t="s">
        <v>371</v>
      </c>
      <c r="F13" s="129" t="s">
        <v>369</v>
      </c>
      <c r="G13" s="129" t="s">
        <v>369</v>
      </c>
      <c r="H13" s="394" t="s">
        <v>372</v>
      </c>
      <c r="I13" s="11"/>
      <c r="J13" s="11"/>
    </row>
    <row r="14" spans="2:10" ht="22.5" customHeight="1" thickBot="1" x14ac:dyDescent="0.25">
      <c r="B14" s="753" t="s">
        <v>241</v>
      </c>
      <c r="C14" s="754"/>
      <c r="D14" s="129" t="s">
        <v>369</v>
      </c>
      <c r="E14" s="178" t="s">
        <v>371</v>
      </c>
      <c r="F14" s="129" t="s">
        <v>369</v>
      </c>
      <c r="G14" s="129" t="s">
        <v>369</v>
      </c>
      <c r="H14" s="165" t="s">
        <v>370</v>
      </c>
      <c r="I14" s="11"/>
      <c r="J14" s="11"/>
    </row>
    <row r="15" spans="2:10" ht="22.5" customHeight="1" thickBot="1" x14ac:dyDescent="0.25">
      <c r="B15" s="753" t="s">
        <v>244</v>
      </c>
      <c r="C15" s="754"/>
      <c r="D15" s="129" t="s">
        <v>369</v>
      </c>
      <c r="E15" s="129" t="s">
        <v>369</v>
      </c>
      <c r="F15" s="129" t="s">
        <v>369</v>
      </c>
      <c r="G15" s="129" t="s">
        <v>369</v>
      </c>
      <c r="H15" s="165" t="s">
        <v>370</v>
      </c>
      <c r="I15" s="11"/>
      <c r="J15" s="11"/>
    </row>
    <row r="16" spans="2:10" ht="27" customHeight="1" thickBot="1" x14ac:dyDescent="0.25">
      <c r="B16" s="753" t="s">
        <v>344</v>
      </c>
      <c r="C16" s="754"/>
      <c r="D16" s="129" t="s">
        <v>369</v>
      </c>
      <c r="E16" s="129" t="s">
        <v>369</v>
      </c>
      <c r="F16" s="129" t="s">
        <v>369</v>
      </c>
      <c r="G16" s="129" t="s">
        <v>369</v>
      </c>
      <c r="H16" s="394" t="s">
        <v>372</v>
      </c>
      <c r="I16" s="11"/>
      <c r="J16" s="11"/>
    </row>
    <row r="17" spans="2:10" ht="22.5" customHeight="1" thickBot="1" x14ac:dyDescent="0.25">
      <c r="B17" s="753" t="s">
        <v>246</v>
      </c>
      <c r="C17" s="754"/>
      <c r="D17" s="129" t="s">
        <v>369</v>
      </c>
      <c r="E17" s="178" t="s">
        <v>371</v>
      </c>
      <c r="F17" s="129" t="s">
        <v>369</v>
      </c>
      <c r="G17" s="129" t="s">
        <v>369</v>
      </c>
      <c r="H17" s="165" t="s">
        <v>370</v>
      </c>
      <c r="I17" s="11"/>
      <c r="J17" s="11"/>
    </row>
    <row r="18" spans="2:10" ht="27" customHeight="1" thickBot="1" x14ac:dyDescent="0.25">
      <c r="B18" s="753" t="s">
        <v>247</v>
      </c>
      <c r="C18" s="754"/>
      <c r="D18" s="129" t="s">
        <v>369</v>
      </c>
      <c r="E18" s="129" t="s">
        <v>369</v>
      </c>
      <c r="F18" s="129" t="s">
        <v>369</v>
      </c>
      <c r="G18" s="129" t="s">
        <v>369</v>
      </c>
      <c r="H18" s="165" t="s">
        <v>370</v>
      </c>
      <c r="I18" s="11"/>
      <c r="J18" s="11"/>
    </row>
    <row r="19" spans="2:10" ht="22.5" customHeight="1" thickBot="1" x14ac:dyDescent="0.25">
      <c r="B19" s="753" t="s">
        <v>248</v>
      </c>
      <c r="C19" s="754"/>
      <c r="D19" s="178" t="s">
        <v>371</v>
      </c>
      <c r="E19" s="129" t="s">
        <v>369</v>
      </c>
      <c r="F19" s="129" t="s">
        <v>369</v>
      </c>
      <c r="G19" s="129" t="s">
        <v>369</v>
      </c>
      <c r="H19" s="165" t="s">
        <v>370</v>
      </c>
      <c r="I19" s="11"/>
      <c r="J19" s="11"/>
    </row>
    <row r="20" spans="2:10" ht="40.5" customHeight="1" thickBot="1" x14ac:dyDescent="0.25">
      <c r="B20" s="753" t="s">
        <v>261</v>
      </c>
      <c r="C20" s="754"/>
      <c r="D20" s="129" t="s">
        <v>369</v>
      </c>
      <c r="E20" s="129" t="s">
        <v>369</v>
      </c>
      <c r="F20" s="129" t="s">
        <v>369</v>
      </c>
      <c r="G20" s="129" t="s">
        <v>369</v>
      </c>
      <c r="H20" s="394" t="s">
        <v>372</v>
      </c>
      <c r="I20" s="11"/>
      <c r="J20" s="11"/>
    </row>
    <row r="21" spans="2:10" ht="27" customHeight="1" thickBot="1" x14ac:dyDescent="0.25">
      <c r="B21" s="753" t="s">
        <v>292</v>
      </c>
      <c r="C21" s="754"/>
      <c r="D21" s="129" t="s">
        <v>369</v>
      </c>
      <c r="E21" s="129" t="s">
        <v>369</v>
      </c>
      <c r="F21" s="129" t="s">
        <v>369</v>
      </c>
      <c r="G21" s="129" t="s">
        <v>369</v>
      </c>
      <c r="H21" s="394" t="s">
        <v>372</v>
      </c>
      <c r="I21" s="11"/>
      <c r="J21" s="11"/>
    </row>
    <row r="22" spans="2:10" ht="27" customHeight="1" thickBot="1" x14ac:dyDescent="0.25">
      <c r="B22" s="753" t="s">
        <v>263</v>
      </c>
      <c r="C22" s="754"/>
      <c r="D22" s="129" t="s">
        <v>369</v>
      </c>
      <c r="E22" s="129" t="s">
        <v>369</v>
      </c>
      <c r="F22" s="129" t="s">
        <v>369</v>
      </c>
      <c r="G22" s="129" t="s">
        <v>369</v>
      </c>
      <c r="H22" s="165" t="s">
        <v>370</v>
      </c>
      <c r="I22" s="11"/>
      <c r="J22" s="11"/>
    </row>
    <row r="23" spans="2:10" ht="27" customHeight="1" thickBot="1" x14ac:dyDescent="0.25">
      <c r="B23" s="753" t="s">
        <v>264</v>
      </c>
      <c r="C23" s="754"/>
      <c r="D23" s="178" t="s">
        <v>371</v>
      </c>
      <c r="E23" s="129" t="s">
        <v>369</v>
      </c>
      <c r="F23" s="129" t="s">
        <v>369</v>
      </c>
      <c r="G23" s="178" t="s">
        <v>371</v>
      </c>
      <c r="H23" s="394" t="s">
        <v>372</v>
      </c>
      <c r="I23" s="11"/>
      <c r="J23" s="11"/>
    </row>
    <row r="24" spans="2:10" ht="40.5" customHeight="1" thickBot="1" x14ac:dyDescent="0.25">
      <c r="B24" s="753" t="s">
        <v>277</v>
      </c>
      <c r="C24" s="754"/>
      <c r="D24" s="129" t="s">
        <v>369</v>
      </c>
      <c r="E24" s="129" t="s">
        <v>369</v>
      </c>
      <c r="F24" s="178" t="s">
        <v>371</v>
      </c>
      <c r="G24" s="129" t="s">
        <v>369</v>
      </c>
      <c r="H24" s="165" t="s">
        <v>370</v>
      </c>
      <c r="I24" s="11"/>
      <c r="J24" s="11"/>
    </row>
    <row r="25" spans="2:10" ht="27" customHeight="1" thickBot="1" x14ac:dyDescent="0.25">
      <c r="B25" s="753" t="s">
        <v>265</v>
      </c>
      <c r="C25" s="754"/>
      <c r="D25" s="129" t="s">
        <v>369</v>
      </c>
      <c r="E25" s="129" t="s">
        <v>369</v>
      </c>
      <c r="F25" s="129" t="s">
        <v>369</v>
      </c>
      <c r="G25" s="129" t="s">
        <v>369</v>
      </c>
      <c r="H25" s="165" t="s">
        <v>370</v>
      </c>
      <c r="I25" s="11"/>
      <c r="J25" s="11"/>
    </row>
    <row r="26" spans="2:10" ht="40.5" customHeight="1" thickBot="1" x14ac:dyDescent="0.25">
      <c r="B26" s="753" t="s">
        <v>266</v>
      </c>
      <c r="C26" s="754"/>
      <c r="D26" s="129" t="s">
        <v>369</v>
      </c>
      <c r="E26" s="129" t="s">
        <v>369</v>
      </c>
      <c r="F26" s="129" t="s">
        <v>369</v>
      </c>
      <c r="G26" s="129" t="s">
        <v>369</v>
      </c>
      <c r="H26" s="394" t="s">
        <v>372</v>
      </c>
      <c r="I26" s="11"/>
      <c r="J26" s="11"/>
    </row>
    <row r="27" spans="2:10" ht="27" customHeight="1" thickBot="1" x14ac:dyDescent="0.25">
      <c r="B27" s="753" t="s">
        <v>373</v>
      </c>
      <c r="C27" s="755"/>
      <c r="D27" s="129">
        <v>2</v>
      </c>
      <c r="E27" s="129">
        <v>3</v>
      </c>
      <c r="F27" s="129">
        <v>1</v>
      </c>
      <c r="G27" s="129">
        <v>1</v>
      </c>
      <c r="H27" s="165">
        <v>6</v>
      </c>
      <c r="J27" s="68" t="s">
        <v>228</v>
      </c>
    </row>
    <row r="28" spans="2:10" ht="40.5" customHeight="1" thickBot="1" x14ac:dyDescent="0.25">
      <c r="B28" s="759" t="s">
        <v>374</v>
      </c>
      <c r="C28" s="760"/>
      <c r="D28" s="179">
        <v>2</v>
      </c>
      <c r="E28" s="179">
        <v>3</v>
      </c>
      <c r="F28" s="179">
        <v>1</v>
      </c>
      <c r="G28" s="179">
        <v>1</v>
      </c>
      <c r="H28" s="165">
        <v>6</v>
      </c>
      <c r="J28" s="7"/>
    </row>
    <row r="29" spans="2:10" ht="22.5" customHeight="1" thickBot="1" x14ac:dyDescent="0.25">
      <c r="B29" s="761" t="s">
        <v>226</v>
      </c>
      <c r="C29" s="762"/>
      <c r="D29" s="497">
        <v>1</v>
      </c>
      <c r="E29" s="497">
        <v>1</v>
      </c>
      <c r="F29" s="497">
        <v>1</v>
      </c>
      <c r="G29" s="497">
        <v>1</v>
      </c>
      <c r="H29" s="521">
        <v>1</v>
      </c>
      <c r="J29" s="148" t="s">
        <v>169</v>
      </c>
    </row>
    <row r="30" spans="2:10" ht="22.5" customHeight="1" thickBot="1" x14ac:dyDescent="0.25">
      <c r="B30" s="181" t="s">
        <v>323</v>
      </c>
      <c r="C30" s="522"/>
      <c r="D30" s="523">
        <v>1</v>
      </c>
      <c r="E30" s="524">
        <v>1</v>
      </c>
      <c r="F30" s="524">
        <v>1</v>
      </c>
      <c r="G30" s="524">
        <v>1</v>
      </c>
      <c r="H30" s="525">
        <v>1</v>
      </c>
      <c r="J30" s="180"/>
    </row>
    <row r="31" spans="2:10" ht="22.5" customHeight="1" x14ac:dyDescent="0.2">
      <c r="B31" s="172"/>
      <c r="C31" s="11"/>
      <c r="D31" s="11"/>
      <c r="E31" s="11"/>
      <c r="F31" s="11"/>
      <c r="G31" s="11"/>
      <c r="H31" s="11"/>
      <c r="J31" s="143"/>
    </row>
    <row r="32" spans="2:10" ht="22.5" customHeight="1" x14ac:dyDescent="0.2">
      <c r="B32" s="572" t="s">
        <v>227</v>
      </c>
      <c r="C32" s="573"/>
      <c r="D32" s="573"/>
      <c r="E32" s="574"/>
      <c r="F32" s="6"/>
      <c r="J32" s="143"/>
    </row>
    <row r="44" spans="8:10" ht="19.5" customHeight="1" x14ac:dyDescent="0.2">
      <c r="H44" s="568" t="s">
        <v>169</v>
      </c>
      <c r="I44" s="569"/>
      <c r="J44" s="569"/>
    </row>
  </sheetData>
  <sheetProtection sheet="1" formatCells="0" formatColumns="0" formatRows="0" insertColumns="0" insertRows="0" insertHyperlinks="0" deleteColumns="0" deleteRows="0" pivotTables="0"/>
  <mergeCells count="36">
    <mergeCell ref="B28:C28"/>
    <mergeCell ref="B29:C29"/>
    <mergeCell ref="B21:C21"/>
    <mergeCell ref="B22:C22"/>
    <mergeCell ref="B23:C23"/>
    <mergeCell ref="B24:C24"/>
    <mergeCell ref="B25:C25"/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H44:J44"/>
    <mergeCell ref="B9:J9"/>
    <mergeCell ref="B13:C13"/>
    <mergeCell ref="B14:C14"/>
    <mergeCell ref="B15:C15"/>
    <mergeCell ref="B32:E32"/>
    <mergeCell ref="B12:C12"/>
    <mergeCell ref="B16:C16"/>
    <mergeCell ref="B17:C17"/>
    <mergeCell ref="B18:C18"/>
    <mergeCell ref="B19:C19"/>
    <mergeCell ref="B20:C20"/>
    <mergeCell ref="B26:C26"/>
    <mergeCell ref="B27:C27"/>
  </mergeCells>
  <pageMargins left="0.7" right="0.7" top="0.75" bottom="0.75" header="0" footer="0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BAA6-AF25-44F8-9DB3-5B3165CA8BF1}">
  <sheetPr>
    <tabColor theme="9" tint="-0.499984740745262"/>
    <pageSetUpPr fitToPage="1"/>
  </sheetPr>
  <dimension ref="B2:K46"/>
  <sheetViews>
    <sheetView showGridLines="0" topLeftCell="A26" workbookViewId="0">
      <selection activeCell="J35" sqref="J35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14.42578125" bestFit="1" customWidth="1"/>
    <col min="11" max="11" width="8.85546875" customWidth="1"/>
    <col min="12" max="14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B11" s="186" t="s">
        <v>375</v>
      </c>
      <c r="C11" s="186" t="s">
        <v>376</v>
      </c>
      <c r="D11" s="318" t="s">
        <v>221</v>
      </c>
      <c r="E11" s="319" t="s">
        <v>222</v>
      </c>
      <c r="F11" s="319" t="s">
        <v>223</v>
      </c>
      <c r="G11" s="182"/>
      <c r="H11" s="182"/>
      <c r="I11" s="182"/>
      <c r="J11" s="182"/>
    </row>
    <row r="12" spans="2:10" ht="22.5" customHeight="1" x14ac:dyDescent="0.2">
      <c r="B12" s="183" t="s">
        <v>377</v>
      </c>
      <c r="C12" s="185" t="s">
        <v>378</v>
      </c>
      <c r="D12" s="185" t="s">
        <v>378</v>
      </c>
      <c r="E12" s="185" t="s">
        <v>378</v>
      </c>
      <c r="F12" s="185" t="s">
        <v>378</v>
      </c>
      <c r="G12" s="188"/>
      <c r="H12" s="188"/>
      <c r="I12" s="188"/>
      <c r="J12" s="188"/>
    </row>
    <row r="13" spans="2:10" ht="22.5" customHeight="1" x14ac:dyDescent="0.2">
      <c r="B13" s="184" t="s">
        <v>379</v>
      </c>
      <c r="C13" s="185">
        <v>2.1</v>
      </c>
      <c r="D13" s="185">
        <v>2.4</v>
      </c>
      <c r="E13" s="185">
        <v>2.2000000000000002</v>
      </c>
      <c r="F13" s="185">
        <v>2.2999999999999998</v>
      </c>
      <c r="G13" s="189"/>
      <c r="H13" s="188"/>
      <c r="I13" s="189"/>
      <c r="J13" s="189"/>
    </row>
    <row r="14" spans="2:10" ht="22.5" customHeight="1" x14ac:dyDescent="0.2">
      <c r="B14" s="184" t="s">
        <v>380</v>
      </c>
      <c r="C14" s="185">
        <v>1.2</v>
      </c>
      <c r="D14" s="185">
        <v>2</v>
      </c>
      <c r="E14" s="185">
        <v>1.7</v>
      </c>
      <c r="F14" s="185">
        <v>1.4</v>
      </c>
      <c r="G14" s="189"/>
      <c r="H14" s="188"/>
      <c r="I14" s="189"/>
      <c r="J14" s="189"/>
    </row>
    <row r="15" spans="2:10" ht="22.5" customHeight="1" x14ac:dyDescent="0.2">
      <c r="B15" s="184" t="s">
        <v>381</v>
      </c>
      <c r="C15" s="185">
        <v>4</v>
      </c>
      <c r="D15" s="185">
        <v>5</v>
      </c>
      <c r="E15" s="185">
        <v>5.2</v>
      </c>
      <c r="F15" s="185">
        <v>3.6</v>
      </c>
      <c r="G15" s="189"/>
      <c r="H15" s="188"/>
      <c r="I15" s="189"/>
      <c r="J15" s="189"/>
    </row>
    <row r="16" spans="2:10" ht="22.5" customHeight="1" x14ac:dyDescent="0.2">
      <c r="B16" s="184" t="s">
        <v>382</v>
      </c>
      <c r="C16" s="185">
        <v>1</v>
      </c>
      <c r="D16" s="185">
        <v>0.9</v>
      </c>
      <c r="E16" s="185">
        <v>0.8</v>
      </c>
      <c r="F16" s="185">
        <v>0.5</v>
      </c>
      <c r="G16" s="189"/>
      <c r="H16" s="188"/>
      <c r="I16" s="189"/>
      <c r="J16" s="189"/>
    </row>
    <row r="17" spans="2:11" ht="22.5" customHeight="1" x14ac:dyDescent="0.2">
      <c r="B17" s="184" t="s">
        <v>383</v>
      </c>
      <c r="C17" s="185">
        <v>0.4</v>
      </c>
      <c r="D17" s="185">
        <v>0.5</v>
      </c>
      <c r="E17" s="185">
        <v>0.5</v>
      </c>
      <c r="F17" s="185">
        <v>0.4</v>
      </c>
      <c r="G17" s="189"/>
      <c r="H17" s="188"/>
      <c r="I17" s="189"/>
      <c r="J17" s="189"/>
      <c r="K17" s="188"/>
    </row>
    <row r="18" spans="2:11" ht="22.5" customHeight="1" x14ac:dyDescent="0.2">
      <c r="B18" s="184" t="s">
        <v>384</v>
      </c>
      <c r="C18" s="185">
        <v>1.1000000000000001</v>
      </c>
      <c r="D18" s="185">
        <v>1.1000000000000001</v>
      </c>
      <c r="E18" s="185">
        <v>1.2</v>
      </c>
      <c r="F18" s="185">
        <v>1.2</v>
      </c>
      <c r="G18" s="189"/>
      <c r="H18" s="188"/>
      <c r="I18" s="189"/>
      <c r="J18" s="189"/>
      <c r="K18" s="188"/>
    </row>
    <row r="19" spans="2:11" ht="22.5" customHeight="1" x14ac:dyDescent="0.2">
      <c r="B19" s="184" t="s">
        <v>385</v>
      </c>
      <c r="C19" s="185">
        <v>1.1000000000000001</v>
      </c>
      <c r="D19" s="185">
        <v>0.9</v>
      </c>
      <c r="E19" s="185">
        <v>1.1000000000000001</v>
      </c>
      <c r="F19" s="185">
        <v>1</v>
      </c>
      <c r="G19" s="189"/>
      <c r="H19" s="188"/>
      <c r="I19" s="189"/>
      <c r="J19" s="189"/>
      <c r="K19" s="188"/>
    </row>
    <row r="20" spans="2:11" ht="22.5" customHeight="1" x14ac:dyDescent="0.2">
      <c r="B20" s="184" t="s">
        <v>386</v>
      </c>
      <c r="C20" s="185">
        <v>1.9</v>
      </c>
      <c r="D20" s="185">
        <v>1.9</v>
      </c>
      <c r="E20" s="185">
        <v>2</v>
      </c>
      <c r="F20" s="185">
        <v>1.5</v>
      </c>
      <c r="G20" s="189"/>
      <c r="H20" s="188"/>
      <c r="I20" s="189"/>
      <c r="J20" s="189"/>
      <c r="K20" s="188"/>
    </row>
    <row r="21" spans="2:11" ht="22.5" customHeight="1" x14ac:dyDescent="0.2">
      <c r="B21" s="184" t="s">
        <v>387</v>
      </c>
      <c r="C21" s="185">
        <v>1</v>
      </c>
      <c r="D21" s="185">
        <v>1.2</v>
      </c>
      <c r="E21" s="185">
        <v>0.8</v>
      </c>
      <c r="F21" s="185">
        <v>1.3</v>
      </c>
      <c r="G21" s="189"/>
      <c r="H21" s="188"/>
      <c r="I21" s="189"/>
      <c r="J21" s="189"/>
      <c r="K21" s="188"/>
    </row>
    <row r="22" spans="2:11" ht="22.5" customHeight="1" x14ac:dyDescent="0.2">
      <c r="B22" s="184" t="s">
        <v>388</v>
      </c>
      <c r="C22" s="185">
        <v>1.3</v>
      </c>
      <c r="D22" s="185">
        <v>1.4</v>
      </c>
      <c r="E22" s="185">
        <v>1.3</v>
      </c>
      <c r="F22" s="185">
        <v>0.9</v>
      </c>
      <c r="G22" s="189"/>
      <c r="H22" s="572" t="s">
        <v>228</v>
      </c>
      <c r="I22" s="573"/>
      <c r="J22" s="573"/>
      <c r="K22" s="574"/>
    </row>
    <row r="23" spans="2:11" ht="22.5" customHeight="1" x14ac:dyDescent="0.2">
      <c r="B23" s="184" t="s">
        <v>389</v>
      </c>
      <c r="C23" s="185">
        <v>0.8</v>
      </c>
      <c r="D23" s="185">
        <v>1.6</v>
      </c>
      <c r="E23" s="185">
        <v>1.1000000000000001</v>
      </c>
      <c r="F23" s="185">
        <v>1.1000000000000001</v>
      </c>
      <c r="G23" s="189"/>
      <c r="H23" s="7"/>
      <c r="I23" s="7"/>
      <c r="J23" s="7"/>
      <c r="K23" s="7"/>
    </row>
    <row r="24" spans="2:11" ht="22.5" customHeight="1" x14ac:dyDescent="0.2">
      <c r="B24" s="186" t="s">
        <v>304</v>
      </c>
      <c r="C24" s="186">
        <v>0.8</v>
      </c>
      <c r="D24" s="186">
        <v>0.8</v>
      </c>
      <c r="E24" s="186">
        <v>0.8</v>
      </c>
      <c r="F24" s="186">
        <v>0.8</v>
      </c>
      <c r="G24" s="189"/>
      <c r="H24" s="559" t="s">
        <v>169</v>
      </c>
      <c r="I24" s="560"/>
      <c r="J24" s="560"/>
      <c r="K24" s="561"/>
    </row>
    <row r="25" spans="2:11" ht="22.5" customHeight="1" x14ac:dyDescent="0.2">
      <c r="B25" s="184" t="s">
        <v>390</v>
      </c>
      <c r="C25" s="185">
        <v>11</v>
      </c>
      <c r="D25" s="185">
        <v>11</v>
      </c>
      <c r="E25" s="185">
        <v>11</v>
      </c>
      <c r="F25" s="185">
        <v>11</v>
      </c>
      <c r="G25" s="189"/>
      <c r="H25" s="562"/>
      <c r="I25" s="563"/>
      <c r="J25" s="563"/>
      <c r="K25" s="564"/>
    </row>
    <row r="26" spans="2:11" ht="22.5" customHeight="1" x14ac:dyDescent="0.2">
      <c r="B26" s="184" t="s">
        <v>391</v>
      </c>
      <c r="C26" s="185">
        <v>10</v>
      </c>
      <c r="D26" s="185">
        <v>10</v>
      </c>
      <c r="E26" s="185">
        <v>10</v>
      </c>
      <c r="F26" s="185">
        <v>9</v>
      </c>
      <c r="G26" s="189"/>
      <c r="H26" s="562"/>
      <c r="I26" s="563"/>
      <c r="J26" s="563"/>
      <c r="K26" s="564"/>
    </row>
    <row r="27" spans="2:11" ht="22.5" customHeight="1" x14ac:dyDescent="0.2">
      <c r="B27" s="186" t="s">
        <v>234</v>
      </c>
      <c r="C27" s="313">
        <f>C26/C25</f>
        <v>0.90909090909090906</v>
      </c>
      <c r="D27" s="313">
        <f t="shared" ref="D27:F27" si="0">D26/D25</f>
        <v>0.90909090909090906</v>
      </c>
      <c r="E27" s="313">
        <f t="shared" si="0"/>
        <v>0.90909090909090906</v>
      </c>
      <c r="F27" s="313">
        <f t="shared" si="0"/>
        <v>0.81818181818181823</v>
      </c>
      <c r="G27" s="189"/>
      <c r="H27" s="562"/>
      <c r="I27" s="563"/>
      <c r="J27" s="563"/>
      <c r="K27" s="564"/>
    </row>
    <row r="28" spans="2:11" ht="22.5" customHeight="1" x14ac:dyDescent="0.2">
      <c r="B28" s="763"/>
      <c r="C28" s="763"/>
      <c r="D28" s="11"/>
      <c r="E28" s="11"/>
      <c r="F28" s="11"/>
      <c r="G28" s="11"/>
      <c r="H28" s="562"/>
      <c r="I28" s="563"/>
      <c r="J28" s="563"/>
      <c r="K28" s="564"/>
    </row>
    <row r="29" spans="2:11" ht="22.5" customHeight="1" x14ac:dyDescent="0.2">
      <c r="B29" s="572" t="s">
        <v>227</v>
      </c>
      <c r="C29" s="573"/>
      <c r="D29" s="573"/>
      <c r="E29" s="574"/>
      <c r="F29" s="11"/>
      <c r="G29" s="11"/>
      <c r="H29" s="562"/>
      <c r="I29" s="563"/>
      <c r="J29" s="563"/>
      <c r="K29" s="564"/>
    </row>
    <row r="30" spans="2:11" ht="22.5" customHeight="1" x14ac:dyDescent="0.2">
      <c r="B30" s="763"/>
      <c r="C30" s="763"/>
      <c r="D30" s="11"/>
      <c r="E30" s="11"/>
      <c r="F30" s="11"/>
      <c r="G30" s="11"/>
      <c r="H30" s="562"/>
      <c r="I30" s="563"/>
      <c r="J30" s="563"/>
      <c r="K30" s="564"/>
    </row>
    <row r="31" spans="2:11" ht="22.5" customHeight="1" x14ac:dyDescent="0.2">
      <c r="B31" s="763"/>
      <c r="C31" s="763"/>
      <c r="D31" s="11"/>
      <c r="E31" s="11"/>
      <c r="F31" s="11"/>
      <c r="G31" s="11"/>
      <c r="H31" s="562"/>
      <c r="I31" s="563"/>
      <c r="J31" s="563"/>
      <c r="K31" s="564"/>
    </row>
    <row r="32" spans="2:11" ht="22.5" customHeight="1" x14ac:dyDescent="0.2">
      <c r="B32" s="763"/>
      <c r="C32" s="763"/>
      <c r="D32" s="11"/>
      <c r="E32" s="11"/>
      <c r="F32" s="11"/>
      <c r="G32" s="11"/>
      <c r="H32" s="565"/>
      <c r="I32" s="566"/>
      <c r="J32" s="566"/>
      <c r="K32" s="567"/>
    </row>
    <row r="33" spans="2:10" ht="22.5" customHeight="1" x14ac:dyDescent="0.25">
      <c r="B33" s="764"/>
      <c r="C33" s="764"/>
      <c r="D33" s="4"/>
      <c r="E33" s="4"/>
      <c r="F33" s="4"/>
      <c r="G33" s="4"/>
      <c r="H33" s="4"/>
      <c r="I33" s="4"/>
      <c r="J33" s="4"/>
    </row>
    <row r="34" spans="2:10" ht="22.5" customHeight="1" x14ac:dyDescent="0.2">
      <c r="B34" s="727" t="s">
        <v>326</v>
      </c>
      <c r="C34" s="728"/>
      <c r="D34" s="728"/>
      <c r="E34" s="728"/>
      <c r="F34" s="6"/>
    </row>
    <row r="35" spans="2:10" ht="22.5" customHeight="1" x14ac:dyDescent="0.2">
      <c r="B35" s="6"/>
      <c r="C35" s="6"/>
      <c r="D35" s="6"/>
      <c r="E35" s="6"/>
      <c r="F35" s="6"/>
    </row>
    <row r="36" spans="2:10" ht="6" customHeight="1" x14ac:dyDescent="0.2">
      <c r="B36" s="6"/>
      <c r="C36" s="6"/>
      <c r="D36" s="6"/>
      <c r="E36" s="6"/>
      <c r="F36" s="6"/>
    </row>
    <row r="37" spans="2:10" ht="19.5" customHeight="1" x14ac:dyDescent="0.2">
      <c r="B37" s="6"/>
      <c r="C37" s="6"/>
      <c r="D37" s="6"/>
      <c r="E37" s="6"/>
      <c r="F37" s="6"/>
    </row>
    <row r="38" spans="2:10" ht="19.5" customHeight="1" x14ac:dyDescent="0.2">
      <c r="B38" s="6"/>
      <c r="C38" s="6"/>
      <c r="D38" s="6"/>
      <c r="E38" s="6"/>
      <c r="F38" s="6"/>
    </row>
    <row r="39" spans="2:10" ht="19.5" customHeight="1" x14ac:dyDescent="0.2">
      <c r="B39" s="6"/>
      <c r="C39" s="6"/>
      <c r="D39" s="6"/>
      <c r="E39" s="6"/>
      <c r="F39" s="6"/>
    </row>
    <row r="40" spans="2:10" ht="19.5" customHeight="1" x14ac:dyDescent="0.2">
      <c r="B40" s="6"/>
      <c r="C40" s="6"/>
      <c r="D40" s="6"/>
      <c r="E40" s="6"/>
      <c r="F40" s="6"/>
    </row>
    <row r="41" spans="2:10" ht="19.5" customHeight="1" x14ac:dyDescent="0.2">
      <c r="B41" s="6"/>
      <c r="C41" s="6"/>
      <c r="D41" s="6"/>
      <c r="E41" s="6"/>
      <c r="F41" s="6"/>
    </row>
    <row r="42" spans="2:10" ht="19.5" customHeight="1" x14ac:dyDescent="0.2">
      <c r="B42" s="6"/>
      <c r="C42" s="6"/>
      <c r="D42" s="6"/>
      <c r="E42" s="6"/>
      <c r="F42" s="6"/>
    </row>
    <row r="43" spans="2:10" ht="19.5" customHeight="1" x14ac:dyDescent="0.2">
      <c r="B43" s="6"/>
      <c r="C43" s="6"/>
      <c r="D43" s="6"/>
      <c r="E43" s="6"/>
      <c r="F43" s="6"/>
    </row>
    <row r="44" spans="2:10" ht="19.5" customHeight="1" x14ac:dyDescent="0.2">
      <c r="B44" s="6"/>
      <c r="C44" s="6"/>
      <c r="D44" s="6"/>
      <c r="E44" s="6"/>
      <c r="F44" s="6"/>
    </row>
    <row r="45" spans="2:10" ht="19.5" customHeight="1" x14ac:dyDescent="0.2"/>
    <row r="46" spans="2:10" ht="19.5" customHeight="1" x14ac:dyDescent="0.2">
      <c r="H46" s="568" t="s">
        <v>169</v>
      </c>
      <c r="I46" s="569"/>
      <c r="J46" s="569"/>
    </row>
  </sheetData>
  <sheetProtection sheet="1" formatCells="0" formatColumns="0" formatRows="0" insertColumns="0" insertRows="0" insertHyperlinks="0" deleteColumns="0" deleteRows="0" pivotTables="0"/>
  <mergeCells count="26">
    <mergeCell ref="B28:C28"/>
    <mergeCell ref="H46:J46"/>
    <mergeCell ref="B9:J9"/>
    <mergeCell ref="B34:E34"/>
    <mergeCell ref="H22:K22"/>
    <mergeCell ref="H24:K32"/>
    <mergeCell ref="B30:C30"/>
    <mergeCell ref="B31:C31"/>
    <mergeCell ref="B32:C32"/>
    <mergeCell ref="B33:C33"/>
    <mergeCell ref="B29:E29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C12:C23">
    <cfRule type="cellIs" dxfId="42" priority="7" operator="lessThan">
      <formula>0.8</formula>
    </cfRule>
  </conditionalFormatting>
  <conditionalFormatting sqref="D13:F23">
    <cfRule type="cellIs" dxfId="41" priority="1" operator="lessThan">
      <formula>0.8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B2:N28"/>
  <sheetViews>
    <sheetView showGridLines="0" topLeftCell="A3" workbookViewId="0">
      <selection activeCell="G13" sqref="G1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4" ht="55.5" customHeight="1" x14ac:dyDescent="0.25">
      <c r="B2" s="543"/>
      <c r="C2" s="544"/>
      <c r="D2" s="545"/>
      <c r="E2" s="546" t="s">
        <v>207</v>
      </c>
      <c r="F2" s="544"/>
      <c r="G2" s="544"/>
      <c r="H2" s="544"/>
      <c r="I2" s="544"/>
      <c r="J2" s="545"/>
      <c r="K2" s="1"/>
      <c r="L2" s="1"/>
      <c r="M2" s="1"/>
    </row>
    <row r="3" spans="2:14" ht="22.5" customHeight="1" x14ac:dyDescent="0.25">
      <c r="B3" s="281"/>
      <c r="C3" s="281"/>
      <c r="D3" s="282"/>
      <c r="E3" s="282"/>
      <c r="F3" s="282"/>
      <c r="G3" s="282"/>
      <c r="H3" s="282"/>
      <c r="I3" s="282"/>
      <c r="J3" s="279"/>
    </row>
    <row r="4" spans="2:14" ht="42.75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48"/>
      <c r="H4" s="575" t="e">
        <f>#REF!</f>
        <v>#REF!</v>
      </c>
      <c r="I4" s="576"/>
      <c r="J4" s="577"/>
    </row>
    <row r="5" spans="2:14" ht="22.5" customHeight="1" x14ac:dyDescent="0.25">
      <c r="B5" s="547" t="s">
        <v>229</v>
      </c>
      <c r="C5" s="548"/>
      <c r="D5" s="578" t="e">
        <f>#REF!</f>
        <v>#REF!</v>
      </c>
      <c r="E5" s="551"/>
      <c r="F5" s="552" t="s">
        <v>211</v>
      </c>
      <c r="G5" s="548"/>
      <c r="H5" s="575" t="s">
        <v>212</v>
      </c>
      <c r="I5" s="576"/>
      <c r="J5" s="577"/>
    </row>
    <row r="6" spans="2:14" ht="22.5" customHeight="1" x14ac:dyDescent="0.25">
      <c r="B6" s="547" t="s">
        <v>213</v>
      </c>
      <c r="C6" s="548"/>
      <c r="D6" s="549" t="s">
        <v>214</v>
      </c>
      <c r="E6" s="545"/>
      <c r="F6" s="547" t="s">
        <v>215</v>
      </c>
      <c r="G6" s="548"/>
      <c r="H6" s="579" t="e">
        <f>#REF!</f>
        <v>#REF!</v>
      </c>
      <c r="I6" s="580"/>
      <c r="J6" s="551"/>
    </row>
    <row r="7" spans="2:14" ht="22.5" customHeight="1" x14ac:dyDescent="0.25">
      <c r="B7" s="547" t="s">
        <v>216</v>
      </c>
      <c r="C7" s="548"/>
      <c r="D7" s="549" t="e">
        <f>#REF!</f>
        <v>#REF!</v>
      </c>
      <c r="E7" s="544"/>
      <c r="F7" s="544"/>
      <c r="G7" s="544"/>
      <c r="H7" s="544"/>
      <c r="I7" s="544"/>
      <c r="J7" s="545"/>
      <c r="K7" s="2"/>
    </row>
    <row r="8" spans="2:14" ht="7.5" customHeight="1" x14ac:dyDescent="0.25">
      <c r="B8" s="279"/>
      <c r="C8" s="279"/>
      <c r="D8" s="279"/>
      <c r="E8" s="279"/>
      <c r="F8" s="279"/>
      <c r="G8" s="279"/>
      <c r="H8" s="279"/>
      <c r="I8" s="279"/>
      <c r="J8" s="279"/>
    </row>
    <row r="9" spans="2:14" ht="22.5" customHeight="1" x14ac:dyDescent="0.25">
      <c r="B9" s="547" t="s">
        <v>217</v>
      </c>
      <c r="C9" s="556"/>
      <c r="D9" s="556"/>
      <c r="E9" s="556"/>
      <c r="F9" s="556"/>
      <c r="G9" s="556"/>
      <c r="H9" s="556"/>
      <c r="I9" s="556"/>
      <c r="J9" s="548"/>
      <c r="K9" s="3"/>
    </row>
    <row r="10" spans="2:14" ht="22.5" customHeight="1" x14ac:dyDescent="0.25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4" ht="22.5" customHeight="1" x14ac:dyDescent="0.25">
      <c r="B11" s="286"/>
      <c r="C11" s="286"/>
      <c r="D11" s="287" t="s">
        <v>218</v>
      </c>
      <c r="E11" s="287" t="s">
        <v>219</v>
      </c>
      <c r="F11" s="287" t="s">
        <v>220</v>
      </c>
      <c r="G11" s="287" t="s">
        <v>221</v>
      </c>
      <c r="H11" s="287" t="s">
        <v>222</v>
      </c>
      <c r="I11" s="287" t="s">
        <v>223</v>
      </c>
      <c r="J11" s="279"/>
    </row>
    <row r="12" spans="2:14" ht="23.25" customHeight="1" x14ac:dyDescent="0.25">
      <c r="B12" s="570" t="s">
        <v>224</v>
      </c>
      <c r="C12" s="545"/>
      <c r="D12" s="289">
        <v>0.41830000000000001</v>
      </c>
      <c r="E12" s="288">
        <v>0.11</v>
      </c>
      <c r="F12" s="289">
        <v>0.87629999999999997</v>
      </c>
      <c r="G12" s="290">
        <v>0.8</v>
      </c>
      <c r="H12" s="290">
        <v>0.94020000000000004</v>
      </c>
      <c r="I12" s="290">
        <v>0.26</v>
      </c>
      <c r="J12" s="279"/>
    </row>
    <row r="13" spans="2:14" ht="22.5" customHeight="1" x14ac:dyDescent="0.25">
      <c r="B13" s="571" t="s">
        <v>225</v>
      </c>
      <c r="C13" s="545"/>
      <c r="D13" s="288" t="e">
        <f>#REF!</f>
        <v>#REF!</v>
      </c>
      <c r="E13" s="288" t="e">
        <f>#REF!</f>
        <v>#REF!</v>
      </c>
      <c r="F13" s="288" t="e">
        <f>#REF!</f>
        <v>#REF!</v>
      </c>
      <c r="G13" s="288" t="e">
        <f>#REF!</f>
        <v>#REF!</v>
      </c>
      <c r="H13" s="288" t="e">
        <f>#REF!</f>
        <v>#REF!</v>
      </c>
      <c r="I13" s="288" t="e">
        <f>#REF!</f>
        <v>#REF!</v>
      </c>
      <c r="J13" s="279"/>
    </row>
    <row r="14" spans="2:14" ht="22.5" customHeight="1" x14ac:dyDescent="0.25">
      <c r="B14" s="571" t="s">
        <v>226</v>
      </c>
      <c r="C14" s="545"/>
      <c r="D14" s="289" t="e">
        <f t="shared" ref="D14:I14" si="0">D12/D13</f>
        <v>#REF!</v>
      </c>
      <c r="E14" s="289" t="e">
        <f t="shared" si="0"/>
        <v>#REF!</v>
      </c>
      <c r="F14" s="289" t="e">
        <f t="shared" si="0"/>
        <v>#REF!</v>
      </c>
      <c r="G14" s="290" t="e">
        <f t="shared" si="0"/>
        <v>#REF!</v>
      </c>
      <c r="H14" s="290" t="e">
        <f t="shared" si="0"/>
        <v>#REF!</v>
      </c>
      <c r="I14" s="290" t="e">
        <f t="shared" si="0"/>
        <v>#REF!</v>
      </c>
      <c r="J14" s="279"/>
    </row>
    <row r="15" spans="2:14" ht="9.75" customHeight="1" x14ac:dyDescent="0.3">
      <c r="B15" s="291"/>
      <c r="C15" s="291"/>
      <c r="D15" s="286"/>
      <c r="E15" s="286"/>
      <c r="F15" s="286"/>
      <c r="G15" s="286"/>
      <c r="H15" s="286"/>
      <c r="I15" s="286"/>
      <c r="J15" s="286"/>
    </row>
    <row r="16" spans="2:14" ht="22.5" customHeight="1" x14ac:dyDescent="0.25">
      <c r="B16" s="547" t="s">
        <v>227</v>
      </c>
      <c r="C16" s="556"/>
      <c r="D16" s="556"/>
      <c r="E16" s="548"/>
      <c r="F16" s="292"/>
      <c r="G16" s="279"/>
      <c r="H16" s="279"/>
      <c r="I16" s="279"/>
      <c r="J16" s="279"/>
      <c r="K16" s="572" t="s">
        <v>228</v>
      </c>
      <c r="L16" s="573"/>
      <c r="M16" s="573"/>
      <c r="N16" s="574"/>
    </row>
    <row r="18" spans="8:14" ht="22.5" customHeight="1" x14ac:dyDescent="0.2">
      <c r="K18" s="559" t="s">
        <v>169</v>
      </c>
      <c r="L18" s="560"/>
      <c r="M18" s="560"/>
      <c r="N18" s="561"/>
    </row>
    <row r="19" spans="8:14" ht="22.5" customHeight="1" x14ac:dyDescent="0.2">
      <c r="K19" s="562"/>
      <c r="L19" s="563"/>
      <c r="M19" s="563"/>
      <c r="N19" s="564"/>
    </row>
    <row r="20" spans="8:14" ht="22.5" customHeight="1" x14ac:dyDescent="0.2">
      <c r="K20" s="562"/>
      <c r="L20" s="563"/>
      <c r="M20" s="563"/>
      <c r="N20" s="564"/>
    </row>
    <row r="21" spans="8:14" ht="22.5" customHeight="1" x14ac:dyDescent="0.2">
      <c r="K21" s="562"/>
      <c r="L21" s="563"/>
      <c r="M21" s="563"/>
      <c r="N21" s="564"/>
    </row>
    <row r="22" spans="8:14" ht="22.5" customHeight="1" x14ac:dyDescent="0.2">
      <c r="K22" s="562"/>
      <c r="L22" s="563"/>
      <c r="M22" s="563"/>
      <c r="N22" s="564"/>
    </row>
    <row r="23" spans="8:14" ht="22.5" customHeight="1" x14ac:dyDescent="0.2">
      <c r="K23" s="562"/>
      <c r="L23" s="563"/>
      <c r="M23" s="563"/>
      <c r="N23" s="564"/>
    </row>
    <row r="24" spans="8:14" ht="22.5" customHeight="1" x14ac:dyDescent="0.2">
      <c r="K24" s="562"/>
      <c r="L24" s="563"/>
      <c r="M24" s="563"/>
      <c r="N24" s="564"/>
    </row>
    <row r="25" spans="8:14" ht="22.5" customHeight="1" x14ac:dyDescent="0.2">
      <c r="K25" s="562"/>
      <c r="L25" s="563"/>
      <c r="M25" s="563"/>
      <c r="N25" s="564"/>
    </row>
    <row r="26" spans="8:14" ht="22.5" customHeight="1" x14ac:dyDescent="0.2">
      <c r="K26" s="565"/>
      <c r="L26" s="566"/>
      <c r="M26" s="566"/>
      <c r="N26" s="567"/>
    </row>
    <row r="27" spans="8:14" ht="6" customHeight="1" x14ac:dyDescent="0.2"/>
    <row r="28" spans="8:14" ht="19.5" customHeight="1" x14ac:dyDescent="0.2">
      <c r="H28" s="568" t="s">
        <v>169</v>
      </c>
      <c r="I28" s="569"/>
      <c r="J28" s="569"/>
    </row>
  </sheetData>
  <sheetProtection algorithmName="SHA-512" hashValue="/j+YG66S1f1ZPv/sCKDzJYjfh3oWR7CaMXp/YVDGRbPIZueki+rofcXK7uadKWidABgDG7EaASPK07xaAVjNMA==" saltValue="0GfU7JdfkWSrFwH/SwBp6g==" spinCount="100000" sheet="1" formatCells="0" formatColumns="0" formatRows="0" insertColumns="0" insertRows="0" insertHyperlinks="0" deleteColumns="0" deleteRows="0" pivotTables="0"/>
  <mergeCells count="24">
    <mergeCell ref="K16:N16"/>
    <mergeCell ref="K18:N26"/>
    <mergeCell ref="H28:J28"/>
    <mergeCell ref="B12:C12"/>
    <mergeCell ref="B13:C13"/>
    <mergeCell ref="B14:C14"/>
    <mergeCell ref="B16:E16"/>
    <mergeCell ref="B5:C5"/>
    <mergeCell ref="H5:J5"/>
    <mergeCell ref="D7:J7"/>
    <mergeCell ref="B9:J9"/>
    <mergeCell ref="D5:E5"/>
    <mergeCell ref="F5:G5"/>
    <mergeCell ref="B6:C6"/>
    <mergeCell ref="D6:E6"/>
    <mergeCell ref="F6:G6"/>
    <mergeCell ref="B7:C7"/>
    <mergeCell ref="H6:J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561B-1205-4821-A5FB-E4BB68BF366A}">
  <sheetPr>
    <tabColor theme="9" tint="-0.499984740745262"/>
    <pageSetUpPr fitToPage="1"/>
  </sheetPr>
  <dimension ref="B2:L47"/>
  <sheetViews>
    <sheetView showGridLines="0" topLeftCell="A26" workbookViewId="0">
      <selection activeCell="K37" sqref="K3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4.42578125" customWidth="1"/>
    <col min="5" max="9" width="12.5703125" customWidth="1"/>
    <col min="10" max="10" width="11.28515625" customWidth="1"/>
    <col min="11" max="11" width="10.42578125" customWidth="1"/>
    <col min="12" max="12" width="9.85546875" bestFit="1" customWidth="1"/>
  </cols>
  <sheetData>
    <row r="2" spans="2:12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2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2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2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2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2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2" ht="7.5" customHeight="1" x14ac:dyDescent="0.2"/>
    <row r="9" spans="2:12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2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2" ht="22.5" customHeight="1" x14ac:dyDescent="0.2">
      <c r="B11" s="765" t="s">
        <v>392</v>
      </c>
      <c r="C11" s="314" t="s">
        <v>219</v>
      </c>
      <c r="D11" s="314" t="s">
        <v>220</v>
      </c>
      <c r="E11" s="314" t="s">
        <v>221</v>
      </c>
      <c r="F11" s="314" t="s">
        <v>222</v>
      </c>
      <c r="G11" s="314" t="s">
        <v>223</v>
      </c>
      <c r="H11" s="314" t="s">
        <v>219</v>
      </c>
      <c r="I11" s="314" t="s">
        <v>220</v>
      </c>
      <c r="J11" s="314" t="s">
        <v>221</v>
      </c>
      <c r="K11" s="314" t="s">
        <v>222</v>
      </c>
      <c r="L11" s="315" t="s">
        <v>223</v>
      </c>
    </row>
    <row r="12" spans="2:12" ht="22.5" customHeight="1" x14ac:dyDescent="0.2">
      <c r="B12" s="765"/>
      <c r="C12" s="314" t="s">
        <v>393</v>
      </c>
      <c r="D12" s="314" t="s">
        <v>393</v>
      </c>
      <c r="E12" s="314" t="s">
        <v>393</v>
      </c>
      <c r="F12" s="314" t="s">
        <v>393</v>
      </c>
      <c r="G12" s="314" t="s">
        <v>393</v>
      </c>
      <c r="H12" s="314" t="s">
        <v>394</v>
      </c>
      <c r="I12" s="314" t="s">
        <v>394</v>
      </c>
      <c r="J12" s="314" t="s">
        <v>394</v>
      </c>
      <c r="K12" s="314" t="s">
        <v>394</v>
      </c>
      <c r="L12" s="315" t="s">
        <v>394</v>
      </c>
    </row>
    <row r="13" spans="2:12" ht="54.75" customHeight="1" x14ac:dyDescent="0.2">
      <c r="B13" s="25" t="s">
        <v>238</v>
      </c>
      <c r="C13" s="193">
        <v>0.52</v>
      </c>
      <c r="D13" s="119">
        <v>0.52</v>
      </c>
      <c r="E13" s="119">
        <v>0.6</v>
      </c>
      <c r="F13" s="193">
        <v>0.59</v>
      </c>
      <c r="G13" s="228">
        <v>0.56999999999999995</v>
      </c>
      <c r="H13" s="193">
        <v>0.5</v>
      </c>
      <c r="I13" s="193">
        <v>0.48</v>
      </c>
      <c r="J13" s="193">
        <v>0.4</v>
      </c>
      <c r="K13" s="193">
        <v>0.41</v>
      </c>
      <c r="L13" s="228">
        <v>0.43</v>
      </c>
    </row>
    <row r="14" spans="2:12" ht="22.5" customHeight="1" x14ac:dyDescent="0.2">
      <c r="B14" s="25" t="s">
        <v>395</v>
      </c>
      <c r="C14" s="193">
        <v>0.45</v>
      </c>
      <c r="D14" s="119">
        <v>0.42</v>
      </c>
      <c r="E14" s="119">
        <v>0.71</v>
      </c>
      <c r="F14" s="193">
        <v>0.52</v>
      </c>
      <c r="G14" s="228">
        <v>0.4</v>
      </c>
      <c r="H14" s="193">
        <v>0.55000000000000004</v>
      </c>
      <c r="I14" s="193">
        <v>0.57999999999999996</v>
      </c>
      <c r="J14" s="193">
        <v>0.28999999999999998</v>
      </c>
      <c r="K14" s="193">
        <v>0.48</v>
      </c>
      <c r="L14" s="228">
        <v>0.6</v>
      </c>
    </row>
    <row r="15" spans="2:12" ht="22.5" customHeight="1" x14ac:dyDescent="0.2">
      <c r="B15" s="25" t="s">
        <v>240</v>
      </c>
      <c r="C15" s="193">
        <v>0.51</v>
      </c>
      <c r="D15" s="119">
        <v>0.51</v>
      </c>
      <c r="E15" s="119">
        <v>0.32</v>
      </c>
      <c r="F15" s="193">
        <v>0.49</v>
      </c>
      <c r="G15" s="228">
        <v>0.4</v>
      </c>
      <c r="H15" s="193">
        <v>0.49</v>
      </c>
      <c r="I15" s="193">
        <v>0.49</v>
      </c>
      <c r="J15" s="193">
        <v>0.68</v>
      </c>
      <c r="K15" s="193">
        <v>0.51</v>
      </c>
      <c r="L15" s="228">
        <v>0.6</v>
      </c>
    </row>
    <row r="16" spans="2:12" ht="22.5" customHeight="1" x14ac:dyDescent="0.2">
      <c r="B16" s="25" t="s">
        <v>241</v>
      </c>
      <c r="C16" s="193">
        <v>0.17</v>
      </c>
      <c r="D16" s="119">
        <v>0.17</v>
      </c>
      <c r="E16" s="119">
        <v>0.26</v>
      </c>
      <c r="F16" s="193">
        <v>0.28999999999999998</v>
      </c>
      <c r="G16" s="228">
        <v>0.28000000000000003</v>
      </c>
      <c r="H16" s="193">
        <v>0.83</v>
      </c>
      <c r="I16" s="193">
        <v>0.83</v>
      </c>
      <c r="J16" s="193">
        <v>0.74</v>
      </c>
      <c r="K16" s="193">
        <v>0.71</v>
      </c>
      <c r="L16" s="228">
        <v>0.72</v>
      </c>
    </row>
    <row r="17" spans="2:12" ht="22.5" customHeight="1" x14ac:dyDescent="0.2">
      <c r="B17" s="25" t="s">
        <v>330</v>
      </c>
      <c r="C17" s="193">
        <v>0.27</v>
      </c>
      <c r="D17" s="119">
        <v>0.27</v>
      </c>
      <c r="E17" s="119">
        <v>0.35</v>
      </c>
      <c r="F17" s="193">
        <v>0.42</v>
      </c>
      <c r="G17" s="228">
        <v>0.27</v>
      </c>
      <c r="H17" s="193">
        <v>0.73</v>
      </c>
      <c r="I17" s="193">
        <v>0.73</v>
      </c>
      <c r="J17" s="193">
        <v>0.65</v>
      </c>
      <c r="K17" s="193">
        <v>0.57999999999999996</v>
      </c>
      <c r="L17" s="228">
        <v>0.73</v>
      </c>
    </row>
    <row r="18" spans="2:12" ht="22.5" customHeight="1" x14ac:dyDescent="0.2">
      <c r="B18" s="25" t="s">
        <v>331</v>
      </c>
      <c r="C18" s="193">
        <v>0.27</v>
      </c>
      <c r="D18" s="119">
        <v>0.27</v>
      </c>
      <c r="E18" s="119">
        <v>0.28999999999999998</v>
      </c>
      <c r="F18" s="193">
        <v>0.5</v>
      </c>
      <c r="G18" s="228">
        <v>0.36</v>
      </c>
      <c r="H18" s="193">
        <v>0.73</v>
      </c>
      <c r="I18" s="193">
        <v>0.73</v>
      </c>
      <c r="J18" s="193">
        <v>0.71</v>
      </c>
      <c r="K18" s="193">
        <v>0.5</v>
      </c>
      <c r="L18" s="228">
        <v>0.64</v>
      </c>
    </row>
    <row r="19" spans="2:12" ht="22.5" customHeight="1" x14ac:dyDescent="0.2">
      <c r="B19" s="25" t="s">
        <v>244</v>
      </c>
      <c r="C19" s="193">
        <v>0.46</v>
      </c>
      <c r="D19" s="119">
        <v>0.46</v>
      </c>
      <c r="E19" s="119">
        <v>0.48</v>
      </c>
      <c r="F19" s="193">
        <v>0.33</v>
      </c>
      <c r="G19" s="228">
        <v>0.26</v>
      </c>
      <c r="H19" s="193">
        <v>0.54</v>
      </c>
      <c r="I19" s="193">
        <v>0.54</v>
      </c>
      <c r="J19" s="193">
        <v>0.52</v>
      </c>
      <c r="K19" s="193">
        <v>0.67</v>
      </c>
      <c r="L19" s="228">
        <v>0.74</v>
      </c>
    </row>
    <row r="20" spans="2:12" ht="22.5" customHeight="1" x14ac:dyDescent="0.2">
      <c r="B20" s="25" t="s">
        <v>245</v>
      </c>
      <c r="C20" s="193">
        <v>0.36</v>
      </c>
      <c r="D20" s="119">
        <v>0.36</v>
      </c>
      <c r="E20" s="119">
        <v>0.47</v>
      </c>
      <c r="F20" s="193">
        <v>0.49</v>
      </c>
      <c r="G20" s="228">
        <v>0.33</v>
      </c>
      <c r="H20" s="193">
        <v>0.64</v>
      </c>
      <c r="I20" s="193">
        <v>0.64</v>
      </c>
      <c r="J20" s="193">
        <v>0.53</v>
      </c>
      <c r="K20" s="193">
        <v>0.52</v>
      </c>
      <c r="L20" s="228">
        <v>0.67</v>
      </c>
    </row>
    <row r="21" spans="2:12" ht="22.5" customHeight="1" x14ac:dyDescent="0.2">
      <c r="B21" s="25" t="s">
        <v>246</v>
      </c>
      <c r="C21" s="193">
        <v>0.42</v>
      </c>
      <c r="D21" s="119">
        <v>0.42</v>
      </c>
      <c r="E21" s="119">
        <v>0.33</v>
      </c>
      <c r="F21" s="193">
        <v>0.41</v>
      </c>
      <c r="G21" s="228">
        <v>0.35</v>
      </c>
      <c r="H21" s="193">
        <v>0.57999999999999996</v>
      </c>
      <c r="I21" s="193">
        <v>0.57999999999999996</v>
      </c>
      <c r="J21" s="193">
        <v>0.67</v>
      </c>
      <c r="K21" s="193">
        <v>0.59</v>
      </c>
      <c r="L21" s="228">
        <v>0.65</v>
      </c>
    </row>
    <row r="22" spans="2:12" ht="22.5" customHeight="1" x14ac:dyDescent="0.2">
      <c r="B22" s="25" t="s">
        <v>247</v>
      </c>
      <c r="C22" s="193">
        <v>0.38</v>
      </c>
      <c r="D22" s="119">
        <v>0.38</v>
      </c>
      <c r="E22" s="119">
        <v>0.41</v>
      </c>
      <c r="F22" s="193">
        <v>0.28999999999999998</v>
      </c>
      <c r="G22" s="228">
        <v>0.42</v>
      </c>
      <c r="H22" s="193">
        <v>0.62</v>
      </c>
      <c r="I22" s="193">
        <v>0.62</v>
      </c>
      <c r="J22" s="193">
        <v>0.59</v>
      </c>
      <c r="K22" s="193">
        <v>0.71</v>
      </c>
      <c r="L22" s="228">
        <v>0.57999999999999996</v>
      </c>
    </row>
    <row r="23" spans="2:12" ht="22.5" customHeight="1" x14ac:dyDescent="0.2">
      <c r="B23" s="25" t="s">
        <v>248</v>
      </c>
      <c r="C23" s="193">
        <v>0.49</v>
      </c>
      <c r="D23" s="119">
        <v>0.49</v>
      </c>
      <c r="E23" s="119">
        <v>0.33</v>
      </c>
      <c r="F23" s="193">
        <v>0.39</v>
      </c>
      <c r="G23" s="228">
        <v>0.42</v>
      </c>
      <c r="H23" s="193">
        <v>0.51</v>
      </c>
      <c r="I23" s="193">
        <v>0.51</v>
      </c>
      <c r="J23" s="193">
        <v>0.67</v>
      </c>
      <c r="K23" s="193">
        <v>0.61</v>
      </c>
      <c r="L23" s="228">
        <v>0.57999999999999996</v>
      </c>
    </row>
    <row r="24" spans="2:12" ht="22.5" customHeight="1" x14ac:dyDescent="0.25">
      <c r="B24" s="119" t="e">
        <f>D5</f>
        <v>#REF!</v>
      </c>
      <c r="C24" s="194">
        <v>7</v>
      </c>
      <c r="D24" s="191">
        <f>COUNTIFS(D13:D23,"&gt;=40%",D13:D23,"&lt;=60%")</f>
        <v>6</v>
      </c>
      <c r="E24" s="191">
        <f>COUNTIFS(E13:E23,"&gt;=40%",E13:E23,"&lt;=60%")</f>
        <v>4</v>
      </c>
      <c r="F24" s="194">
        <v>4</v>
      </c>
      <c r="G24" s="40">
        <v>5</v>
      </c>
      <c r="H24" s="194">
        <v>11</v>
      </c>
      <c r="I24" s="194">
        <v>11</v>
      </c>
      <c r="J24" s="194">
        <v>10</v>
      </c>
      <c r="K24" s="194">
        <v>8</v>
      </c>
      <c r="L24" s="40">
        <v>8</v>
      </c>
    </row>
    <row r="25" spans="2:12" ht="22.5" customHeight="1" x14ac:dyDescent="0.2">
      <c r="B25" s="192" t="s">
        <v>268</v>
      </c>
      <c r="C25" s="40">
        <v>11</v>
      </c>
      <c r="D25" s="192">
        <f>COUNT(D13:D23)</f>
        <v>11</v>
      </c>
      <c r="E25" s="192">
        <f>COUNT(E13:E23)</f>
        <v>11</v>
      </c>
      <c r="F25" s="40">
        <v>11</v>
      </c>
      <c r="G25" s="40">
        <v>11</v>
      </c>
      <c r="H25" s="40">
        <v>11</v>
      </c>
      <c r="I25" s="40">
        <v>11</v>
      </c>
      <c r="J25" s="40">
        <v>11</v>
      </c>
      <c r="K25" s="40">
        <v>11</v>
      </c>
      <c r="L25" s="40">
        <v>11</v>
      </c>
    </row>
    <row r="26" spans="2:12" ht="22.5" customHeight="1" x14ac:dyDescent="0.2">
      <c r="B26" s="317" t="s">
        <v>225</v>
      </c>
      <c r="C26" s="194" t="s">
        <v>93</v>
      </c>
      <c r="D26" s="119" t="e">
        <f t="shared" ref="D26:E26" si="0">$D5</f>
        <v>#REF!</v>
      </c>
      <c r="E26" s="119" t="e">
        <f t="shared" si="0"/>
        <v>#REF!</v>
      </c>
      <c r="F26" s="194" t="s">
        <v>93</v>
      </c>
      <c r="G26" s="40" t="s">
        <v>93</v>
      </c>
      <c r="H26" s="194" t="s">
        <v>93</v>
      </c>
      <c r="I26" s="194" t="s">
        <v>93</v>
      </c>
      <c r="J26" s="194" t="s">
        <v>93</v>
      </c>
      <c r="K26" s="194" t="s">
        <v>93</v>
      </c>
      <c r="L26" s="40" t="s">
        <v>93</v>
      </c>
    </row>
    <row r="27" spans="2:12" ht="22.5" customHeight="1" x14ac:dyDescent="0.2">
      <c r="B27" s="316"/>
      <c r="C27" s="194" t="s">
        <v>393</v>
      </c>
      <c r="D27" s="119" t="s">
        <v>393</v>
      </c>
      <c r="E27" s="119" t="s">
        <v>393</v>
      </c>
      <c r="F27" s="194" t="s">
        <v>393</v>
      </c>
      <c r="G27" s="40" t="s">
        <v>393</v>
      </c>
      <c r="H27" s="194" t="s">
        <v>394</v>
      </c>
      <c r="I27" s="194" t="s">
        <v>394</v>
      </c>
      <c r="J27" s="194" t="s">
        <v>394</v>
      </c>
      <c r="K27" s="194" t="s">
        <v>394</v>
      </c>
      <c r="L27" s="40" t="s">
        <v>394</v>
      </c>
    </row>
    <row r="28" spans="2:12" ht="22.5" customHeight="1" x14ac:dyDescent="0.2">
      <c r="B28" s="320" t="s">
        <v>226</v>
      </c>
      <c r="C28" s="321">
        <v>0.63629999999999998</v>
      </c>
      <c r="D28" s="322">
        <f>D24/D25</f>
        <v>0.54545454545454541</v>
      </c>
      <c r="E28" s="322">
        <f>E24/E25</f>
        <v>0.36363636363636365</v>
      </c>
      <c r="F28" s="321">
        <v>0.36359999999999998</v>
      </c>
      <c r="G28" s="323">
        <v>0.45450000000000002</v>
      </c>
      <c r="H28" s="324">
        <v>1</v>
      </c>
      <c r="I28" s="324">
        <v>1</v>
      </c>
      <c r="J28" s="321">
        <v>0.90900000000000003</v>
      </c>
      <c r="K28" s="321">
        <v>0.72719999999999996</v>
      </c>
      <c r="L28" s="323">
        <v>0.72719999999999996</v>
      </c>
    </row>
    <row r="29" spans="2:12" ht="22.5" customHeight="1" x14ac:dyDescent="0.2">
      <c r="B29" s="19"/>
      <c r="C29" s="19"/>
      <c r="D29" s="30"/>
      <c r="E29" s="30"/>
      <c r="F29" s="19"/>
      <c r="G29" s="11"/>
      <c r="H29" s="11"/>
      <c r="I29" s="11"/>
      <c r="J29" s="11"/>
    </row>
    <row r="30" spans="2:12" ht="22.5" customHeight="1" x14ac:dyDescent="0.2">
      <c r="B30" s="572" t="s">
        <v>227</v>
      </c>
      <c r="C30" s="573"/>
      <c r="D30" s="573"/>
      <c r="E30" s="574"/>
      <c r="F30" s="19"/>
      <c r="G30" s="11"/>
      <c r="H30" s="11"/>
      <c r="I30" s="11"/>
      <c r="J30" s="11"/>
    </row>
    <row r="35" spans="2:10" ht="22.5" customHeight="1" x14ac:dyDescent="0.2">
      <c r="B35" s="727" t="s">
        <v>326</v>
      </c>
      <c r="C35" s="728"/>
      <c r="D35" s="728"/>
      <c r="E35" s="728"/>
      <c r="F35" s="6"/>
    </row>
    <row r="36" spans="2:10" ht="22.5" customHeight="1" x14ac:dyDescent="0.2">
      <c r="B36" s="6"/>
      <c r="C36" s="6"/>
      <c r="D36" s="6"/>
      <c r="E36" s="6"/>
      <c r="F36" s="6"/>
    </row>
    <row r="37" spans="2:10" ht="6" customHeight="1" x14ac:dyDescent="0.2">
      <c r="B37" s="6"/>
      <c r="C37" s="6"/>
      <c r="D37" s="6"/>
      <c r="E37" s="6"/>
      <c r="F37" s="6"/>
    </row>
    <row r="38" spans="2:10" ht="19.5" customHeight="1" x14ac:dyDescent="0.2">
      <c r="B38" s="6"/>
      <c r="C38" s="6"/>
      <c r="D38" s="6"/>
      <c r="E38" s="6"/>
      <c r="F38" s="6"/>
    </row>
    <row r="39" spans="2:10" ht="19.5" customHeight="1" x14ac:dyDescent="0.2">
      <c r="B39" s="6"/>
      <c r="C39" s="6"/>
      <c r="D39" s="6"/>
      <c r="E39" s="6"/>
      <c r="F39" s="6"/>
    </row>
    <row r="40" spans="2:10" ht="19.5" customHeight="1" x14ac:dyDescent="0.2">
      <c r="B40" s="6"/>
      <c r="C40" s="6"/>
      <c r="D40" s="6"/>
      <c r="E40" s="6"/>
      <c r="F40" s="6"/>
    </row>
    <row r="41" spans="2:10" ht="19.5" customHeight="1" x14ac:dyDescent="0.2">
      <c r="B41" s="6"/>
      <c r="C41" s="6"/>
      <c r="D41" s="6"/>
      <c r="E41" s="6"/>
      <c r="F41" s="6"/>
    </row>
    <row r="42" spans="2:10" ht="19.5" customHeight="1" x14ac:dyDescent="0.2">
      <c r="B42" s="6"/>
      <c r="C42" s="6"/>
      <c r="D42" s="6"/>
      <c r="E42" s="6"/>
      <c r="F42" s="6"/>
    </row>
    <row r="43" spans="2:10" ht="19.5" customHeight="1" x14ac:dyDescent="0.2">
      <c r="B43" s="6"/>
      <c r="C43" s="6"/>
      <c r="D43" s="6"/>
      <c r="E43" s="6"/>
      <c r="F43" s="6"/>
    </row>
    <row r="44" spans="2:10" ht="19.5" customHeight="1" x14ac:dyDescent="0.2">
      <c r="B44" s="6"/>
      <c r="C44" s="6"/>
      <c r="D44" s="6"/>
      <c r="E44" s="6"/>
      <c r="F44" s="6"/>
    </row>
    <row r="45" spans="2:10" ht="19.5" customHeight="1" x14ac:dyDescent="0.2">
      <c r="B45" s="6"/>
      <c r="C45" s="6"/>
      <c r="D45" s="6"/>
      <c r="E45" s="6"/>
      <c r="F45" s="6"/>
    </row>
    <row r="46" spans="2:10" ht="19.5" customHeight="1" x14ac:dyDescent="0.2"/>
    <row r="47" spans="2:10" ht="19.5" customHeight="1" x14ac:dyDescent="0.2">
      <c r="H47" s="568" t="s">
        <v>169</v>
      </c>
      <c r="I47" s="569"/>
      <c r="J47" s="569"/>
    </row>
  </sheetData>
  <sheetProtection sheet="1" formatCells="0" formatColumns="0" formatRows="0" insertColumns="0" insertRows="0" insertHyperlinks="0" deleteColumns="0" deleteRows="0" pivotTables="0"/>
  <mergeCells count="20">
    <mergeCell ref="B30:E30"/>
    <mergeCell ref="B9:J9"/>
    <mergeCell ref="B35:E35"/>
    <mergeCell ref="H47:J47"/>
    <mergeCell ref="B11:B12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C13:L23">
    <cfRule type="cellIs" dxfId="40" priority="1" operator="between">
      <formula>0%</formula>
      <formula>39%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D594-E1D9-4D65-BE27-424EEE5BD7FC}">
  <sheetPr>
    <tabColor theme="9" tint="-0.499984740745262"/>
    <pageSetUpPr fitToPage="1"/>
  </sheetPr>
  <dimension ref="B2:J50"/>
  <sheetViews>
    <sheetView showGridLines="0" topLeftCell="A20" workbookViewId="0">
      <selection activeCell="G22" sqref="G22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B11" s="168" t="s">
        <v>169</v>
      </c>
      <c r="H11" s="11"/>
      <c r="I11" s="11"/>
      <c r="J11" s="11"/>
    </row>
    <row r="12" spans="2:10" ht="33" customHeight="1" x14ac:dyDescent="0.2">
      <c r="B12" s="89" t="s">
        <v>396</v>
      </c>
      <c r="C12" s="89" t="s">
        <v>219</v>
      </c>
      <c r="D12" s="89" t="s">
        <v>220</v>
      </c>
      <c r="E12" s="89" t="s">
        <v>221</v>
      </c>
      <c r="F12" s="89" t="s">
        <v>222</v>
      </c>
      <c r="G12" s="89" t="s">
        <v>223</v>
      </c>
      <c r="H12" s="11"/>
      <c r="I12" s="11"/>
      <c r="J12" s="11"/>
    </row>
    <row r="13" spans="2:10" ht="71.25" x14ac:dyDescent="0.2">
      <c r="B13" s="29" t="s">
        <v>397</v>
      </c>
      <c r="C13" s="55">
        <v>0.61</v>
      </c>
      <c r="D13" s="55">
        <v>0.75</v>
      </c>
      <c r="E13" s="39">
        <v>0.5</v>
      </c>
      <c r="F13" s="55">
        <v>0.64</v>
      </c>
      <c r="G13" s="55">
        <v>0.75</v>
      </c>
      <c r="H13" s="11"/>
      <c r="I13" s="11"/>
      <c r="J13" s="11"/>
    </row>
    <row r="14" spans="2:10" ht="47.25" customHeight="1" x14ac:dyDescent="0.2">
      <c r="B14" s="29" t="s">
        <v>398</v>
      </c>
      <c r="C14" s="55">
        <v>0.05</v>
      </c>
      <c r="D14" s="55">
        <v>0.28999999999999998</v>
      </c>
      <c r="E14" s="39">
        <v>0.125</v>
      </c>
      <c r="F14" s="55">
        <v>0.19</v>
      </c>
      <c r="G14" s="39">
        <v>0.1153</v>
      </c>
      <c r="H14" s="11"/>
      <c r="I14" s="11"/>
      <c r="J14" s="11"/>
    </row>
    <row r="15" spans="2:10" ht="22.5" customHeight="1" x14ac:dyDescent="0.2">
      <c r="B15" s="29" t="s">
        <v>399</v>
      </c>
      <c r="C15" s="55">
        <v>0.53</v>
      </c>
      <c r="D15" s="55">
        <v>0.27</v>
      </c>
      <c r="E15" s="39">
        <v>0</v>
      </c>
      <c r="F15" s="55">
        <v>0.14000000000000001</v>
      </c>
      <c r="G15" s="39">
        <v>0.22220000000000001</v>
      </c>
      <c r="H15" s="11"/>
      <c r="I15" s="11"/>
      <c r="J15" s="11"/>
    </row>
    <row r="16" spans="2:10" ht="42.75" customHeight="1" x14ac:dyDescent="0.2">
      <c r="B16" s="29" t="s">
        <v>400</v>
      </c>
      <c r="C16" s="55">
        <v>0.26</v>
      </c>
      <c r="D16" s="55">
        <v>0.28000000000000003</v>
      </c>
      <c r="E16" s="39">
        <v>0.16700000000000001</v>
      </c>
      <c r="F16" s="55">
        <v>0.14000000000000001</v>
      </c>
      <c r="G16" s="39">
        <v>0.14280000000000001</v>
      </c>
      <c r="H16" s="11"/>
      <c r="I16" s="11"/>
      <c r="J16" s="11"/>
    </row>
    <row r="17" spans="2:7" ht="39" customHeight="1" x14ac:dyDescent="0.2">
      <c r="B17" s="29" t="s">
        <v>265</v>
      </c>
      <c r="C17" s="55">
        <v>0.2</v>
      </c>
      <c r="D17" s="55">
        <v>0.38</v>
      </c>
      <c r="E17" s="39">
        <v>0</v>
      </c>
      <c r="F17" s="55">
        <v>0</v>
      </c>
      <c r="G17" s="55">
        <v>0.25</v>
      </c>
    </row>
    <row r="18" spans="2:7" ht="22.5" customHeight="1" x14ac:dyDescent="0.2">
      <c r="B18" s="29" t="s">
        <v>277</v>
      </c>
      <c r="C18" s="55">
        <v>0.19</v>
      </c>
      <c r="D18" s="55">
        <v>0.05</v>
      </c>
      <c r="E18" s="39">
        <v>0.14299999999999999</v>
      </c>
      <c r="F18" s="55">
        <v>0.15</v>
      </c>
      <c r="G18" s="39">
        <v>8.3299999999999999E-2</v>
      </c>
    </row>
    <row r="19" spans="2:7" ht="22.5" customHeight="1" x14ac:dyDescent="0.2">
      <c r="B19" s="29" t="s">
        <v>279</v>
      </c>
      <c r="C19" s="55">
        <v>0.13</v>
      </c>
      <c r="D19" s="55">
        <v>0.09</v>
      </c>
      <c r="E19" s="39">
        <v>8.1000000000000003E-2</v>
      </c>
      <c r="F19" s="55">
        <v>0.22</v>
      </c>
      <c r="G19" s="39">
        <v>0.10249999999999999</v>
      </c>
    </row>
    <row r="20" spans="2:7" ht="49.5" customHeight="1" x14ac:dyDescent="0.2">
      <c r="B20" s="256" t="s">
        <v>4</v>
      </c>
      <c r="C20" s="384">
        <v>0.2</v>
      </c>
      <c r="D20" s="384">
        <v>0.2</v>
      </c>
      <c r="E20" s="384">
        <v>0.2</v>
      </c>
      <c r="F20" s="384">
        <v>0.2</v>
      </c>
      <c r="G20" s="384">
        <v>0.2</v>
      </c>
    </row>
    <row r="21" spans="2:7" ht="49.5" customHeight="1" x14ac:dyDescent="0.2">
      <c r="B21" s="91" t="s">
        <v>401</v>
      </c>
      <c r="C21" s="498">
        <v>7</v>
      </c>
      <c r="D21" s="498">
        <v>7</v>
      </c>
      <c r="E21" s="498">
        <v>7</v>
      </c>
      <c r="F21" s="498">
        <v>7</v>
      </c>
      <c r="G21" s="498">
        <v>7</v>
      </c>
    </row>
    <row r="22" spans="2:7" ht="49.5" customHeight="1" x14ac:dyDescent="0.2">
      <c r="B22" s="91" t="s">
        <v>402</v>
      </c>
      <c r="C22" s="499">
        <v>4</v>
      </c>
      <c r="D22" s="498">
        <v>5</v>
      </c>
      <c r="E22" s="498">
        <v>1</v>
      </c>
      <c r="F22" s="498">
        <v>2</v>
      </c>
      <c r="G22" s="498">
        <v>3</v>
      </c>
    </row>
    <row r="23" spans="2:7" ht="47.25" customHeight="1" x14ac:dyDescent="0.2">
      <c r="B23" s="256" t="s">
        <v>234</v>
      </c>
      <c r="C23" s="385">
        <f>C22/C21</f>
        <v>0.5714285714285714</v>
      </c>
      <c r="D23" s="385">
        <f t="shared" ref="D23:G23" si="0">D22/D21</f>
        <v>0.7142857142857143</v>
      </c>
      <c r="E23" s="385">
        <f t="shared" si="0"/>
        <v>0.14285714285714285</v>
      </c>
      <c r="F23" s="385">
        <f t="shared" si="0"/>
        <v>0.2857142857142857</v>
      </c>
      <c r="G23" s="385">
        <f t="shared" si="0"/>
        <v>0.42857142857142855</v>
      </c>
    </row>
    <row r="24" spans="2:7" ht="22.5" customHeight="1" x14ac:dyDescent="0.2">
      <c r="B24" s="19"/>
      <c r="C24" s="19"/>
      <c r="D24" s="19"/>
      <c r="E24" s="19"/>
      <c r="F24" s="19"/>
      <c r="G24" s="19"/>
    </row>
    <row r="25" spans="2:7" ht="22.5" customHeight="1" x14ac:dyDescent="0.2">
      <c r="B25" s="19"/>
      <c r="C25" s="19"/>
      <c r="D25" s="19"/>
      <c r="E25" s="19"/>
      <c r="F25" s="19"/>
      <c r="G25" s="19"/>
    </row>
    <row r="26" spans="2:7" ht="22.5" customHeight="1" x14ac:dyDescent="0.2">
      <c r="B26" s="572" t="s">
        <v>227</v>
      </c>
      <c r="C26" s="573"/>
      <c r="D26" s="573"/>
      <c r="E26" s="574"/>
      <c r="F26" s="84"/>
      <c r="G26" s="84"/>
    </row>
    <row r="38" spans="2:10" ht="22.5" customHeight="1" x14ac:dyDescent="0.2">
      <c r="B38" s="727" t="s">
        <v>326</v>
      </c>
      <c r="C38" s="728"/>
      <c r="D38" s="728"/>
      <c r="E38" s="728"/>
      <c r="F38" s="6"/>
      <c r="G38" s="572" t="s">
        <v>228</v>
      </c>
      <c r="H38" s="573"/>
      <c r="I38" s="573"/>
      <c r="J38" s="574"/>
    </row>
    <row r="39" spans="2:10" ht="22.5" customHeight="1" x14ac:dyDescent="0.2">
      <c r="B39" s="6"/>
      <c r="C39" s="6"/>
      <c r="D39" s="6"/>
      <c r="E39" s="6"/>
      <c r="F39" s="6"/>
      <c r="G39" s="7"/>
      <c r="H39" s="7"/>
      <c r="I39" s="7"/>
      <c r="J39" s="7"/>
    </row>
    <row r="40" spans="2:10" ht="6" customHeight="1" x14ac:dyDescent="0.2">
      <c r="B40" s="6"/>
      <c r="C40" s="6"/>
      <c r="D40" s="6"/>
      <c r="E40" s="6"/>
      <c r="F40" s="6"/>
      <c r="G40" s="559" t="s">
        <v>169</v>
      </c>
      <c r="H40" s="560"/>
      <c r="I40" s="560"/>
      <c r="J40" s="561"/>
    </row>
    <row r="41" spans="2:10" ht="19.5" customHeight="1" x14ac:dyDescent="0.2">
      <c r="B41" s="6"/>
      <c r="C41" s="6"/>
      <c r="D41" s="6"/>
      <c r="E41" s="6"/>
      <c r="F41" s="6"/>
      <c r="G41" s="562"/>
      <c r="H41" s="563"/>
      <c r="I41" s="563"/>
      <c r="J41" s="564"/>
    </row>
    <row r="42" spans="2:10" ht="19.5" customHeight="1" x14ac:dyDescent="0.2">
      <c r="B42" s="6"/>
      <c r="C42" s="6"/>
      <c r="D42" s="6"/>
      <c r="E42" s="6"/>
      <c r="F42" s="6"/>
      <c r="G42" s="562"/>
      <c r="H42" s="563"/>
      <c r="I42" s="563"/>
      <c r="J42" s="564"/>
    </row>
    <row r="43" spans="2:10" ht="19.5" customHeight="1" x14ac:dyDescent="0.2">
      <c r="B43" s="6"/>
      <c r="C43" s="6"/>
      <c r="D43" s="6"/>
      <c r="E43" s="6"/>
      <c r="F43" s="6"/>
      <c r="G43" s="562"/>
      <c r="H43" s="563"/>
      <c r="I43" s="563"/>
      <c r="J43" s="564"/>
    </row>
    <row r="44" spans="2:10" ht="19.5" customHeight="1" x14ac:dyDescent="0.2">
      <c r="B44" s="6"/>
      <c r="C44" s="6"/>
      <c r="D44" s="6"/>
      <c r="E44" s="6"/>
      <c r="F44" s="6"/>
      <c r="G44" s="562"/>
      <c r="H44" s="563"/>
      <c r="I44" s="563"/>
      <c r="J44" s="564"/>
    </row>
    <row r="45" spans="2:10" ht="19.5" customHeight="1" x14ac:dyDescent="0.2">
      <c r="B45" s="6"/>
      <c r="C45" s="6"/>
      <c r="D45" s="6"/>
      <c r="E45" s="6"/>
      <c r="F45" s="6"/>
      <c r="G45" s="562"/>
      <c r="H45" s="563"/>
      <c r="I45" s="563"/>
      <c r="J45" s="564"/>
    </row>
    <row r="46" spans="2:10" ht="19.5" customHeight="1" x14ac:dyDescent="0.2">
      <c r="B46" s="6"/>
      <c r="C46" s="6"/>
      <c r="D46" s="6"/>
      <c r="E46" s="6"/>
      <c r="F46" s="6"/>
      <c r="G46" s="562"/>
      <c r="H46" s="563"/>
      <c r="I46" s="563"/>
      <c r="J46" s="564"/>
    </row>
    <row r="47" spans="2:10" ht="19.5" customHeight="1" x14ac:dyDescent="0.2">
      <c r="B47" s="6"/>
      <c r="C47" s="6"/>
      <c r="D47" s="6"/>
      <c r="E47" s="6"/>
      <c r="F47" s="6"/>
      <c r="G47" s="562"/>
      <c r="H47" s="563"/>
      <c r="I47" s="563"/>
      <c r="J47" s="564"/>
    </row>
    <row r="48" spans="2:10" ht="19.5" customHeight="1" x14ac:dyDescent="0.2">
      <c r="B48" s="6"/>
      <c r="C48" s="6"/>
      <c r="D48" s="6"/>
      <c r="E48" s="6"/>
      <c r="F48" s="6"/>
      <c r="G48" s="565"/>
      <c r="H48" s="566"/>
      <c r="I48" s="566"/>
      <c r="J48" s="567"/>
    </row>
    <row r="50" spans="8:10" ht="19.5" customHeight="1" x14ac:dyDescent="0.2">
      <c r="H50" s="568" t="s">
        <v>169</v>
      </c>
      <c r="I50" s="569"/>
      <c r="J50" s="569"/>
    </row>
  </sheetData>
  <sheetProtection sheet="1" formatCells="0" formatColumns="0" formatRows="0" insertColumns="0" insertRows="0" insertHyperlinks="0" deleteColumns="0" deleteRows="0" pivotTables="0"/>
  <mergeCells count="21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G40:J48"/>
    <mergeCell ref="H50:J50"/>
    <mergeCell ref="B9:J9"/>
    <mergeCell ref="B38:E38"/>
    <mergeCell ref="G38:J38"/>
    <mergeCell ref="B26:E26"/>
  </mergeCells>
  <conditionalFormatting sqref="C13:G19">
    <cfRule type="cellIs" dxfId="39" priority="1" operator="between">
      <formula>0</formula>
      <formula>0.199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744CC-FDFE-49A8-A217-85480E266AAC}">
  <sheetPr>
    <tabColor theme="9" tint="-0.499984740745262"/>
    <pageSetUpPr fitToPage="1"/>
  </sheetPr>
  <dimension ref="B2:O41"/>
  <sheetViews>
    <sheetView showGridLines="0" topLeftCell="A23" workbookViewId="0">
      <selection activeCell="H29" sqref="H2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</row>
    <row r="13" spans="2:10" ht="41.25" customHeight="1" x14ac:dyDescent="0.2">
      <c r="B13" s="667" t="s">
        <v>238</v>
      </c>
      <c r="C13" s="667"/>
      <c r="D13" s="92">
        <v>0.84</v>
      </c>
      <c r="E13" s="92">
        <v>0.8</v>
      </c>
      <c r="F13" s="92">
        <v>0.95</v>
      </c>
      <c r="G13" s="92">
        <v>0.8</v>
      </c>
      <c r="H13" s="92">
        <v>0.86909999999999998</v>
      </c>
      <c r="I13" s="92">
        <v>0.85</v>
      </c>
      <c r="J13" s="121"/>
    </row>
    <row r="14" spans="2:10" ht="41.25" customHeight="1" x14ac:dyDescent="0.2">
      <c r="B14" s="667" t="s">
        <v>337</v>
      </c>
      <c r="C14" s="667"/>
      <c r="D14" s="92">
        <v>0.84</v>
      </c>
      <c r="E14" s="92">
        <v>0.92</v>
      </c>
      <c r="F14" s="92">
        <v>0.94</v>
      </c>
      <c r="G14" s="92">
        <v>0.83</v>
      </c>
      <c r="H14" s="92">
        <v>0.9</v>
      </c>
      <c r="I14" s="92">
        <v>0.87</v>
      </c>
      <c r="J14" s="121"/>
    </row>
    <row r="15" spans="2:10" ht="41.25" customHeight="1" x14ac:dyDescent="0.2">
      <c r="B15" s="667" t="s">
        <v>287</v>
      </c>
      <c r="C15" s="667"/>
      <c r="D15" s="92">
        <v>0.62</v>
      </c>
      <c r="E15" s="92">
        <v>0.7</v>
      </c>
      <c r="F15" s="92">
        <v>0.66</v>
      </c>
      <c r="G15" s="92">
        <v>0.69</v>
      </c>
      <c r="H15" s="92">
        <v>0.67849999999999999</v>
      </c>
      <c r="I15" s="92">
        <v>0.79</v>
      </c>
      <c r="J15" s="121"/>
    </row>
    <row r="16" spans="2:10" ht="41.25" customHeight="1" x14ac:dyDescent="0.2">
      <c r="B16" s="667" t="s">
        <v>241</v>
      </c>
      <c r="C16" s="667"/>
      <c r="D16" s="92">
        <v>0.82</v>
      </c>
      <c r="E16" s="92">
        <v>0.94</v>
      </c>
      <c r="F16" s="92">
        <v>0.87</v>
      </c>
      <c r="G16" s="92">
        <v>0.88</v>
      </c>
      <c r="H16" s="92">
        <v>0.86529999999999996</v>
      </c>
      <c r="I16" s="92">
        <v>0.85</v>
      </c>
      <c r="J16" s="121"/>
    </row>
    <row r="17" spans="2:15" ht="41.25" customHeight="1" x14ac:dyDescent="0.2">
      <c r="B17" s="667" t="s">
        <v>330</v>
      </c>
      <c r="C17" s="667"/>
      <c r="D17" s="92">
        <v>0.99</v>
      </c>
      <c r="E17" s="92">
        <v>0.89</v>
      </c>
      <c r="F17" s="92">
        <v>0.96</v>
      </c>
      <c r="G17" s="92">
        <v>0.91</v>
      </c>
      <c r="H17" s="92">
        <v>0.86</v>
      </c>
      <c r="I17" s="92">
        <v>0.9</v>
      </c>
      <c r="J17" s="121"/>
      <c r="K17" s="21"/>
      <c r="L17" s="26"/>
      <c r="M17" s="26"/>
    </row>
    <row r="18" spans="2:15" ht="41.25" customHeight="1" x14ac:dyDescent="0.2">
      <c r="B18" s="730" t="s">
        <v>331</v>
      </c>
      <c r="C18" s="735"/>
      <c r="D18" s="92">
        <v>0.96</v>
      </c>
      <c r="E18" s="92">
        <v>0.85</v>
      </c>
      <c r="F18" s="92">
        <v>1</v>
      </c>
      <c r="G18" s="92">
        <v>0.92</v>
      </c>
      <c r="H18" s="92">
        <v>0.93</v>
      </c>
      <c r="I18" s="92">
        <v>0.87</v>
      </c>
      <c r="J18" s="121"/>
      <c r="K18" s="21"/>
      <c r="L18" s="26"/>
      <c r="M18" s="26"/>
    </row>
    <row r="19" spans="2:15" ht="41.25" customHeight="1" x14ac:dyDescent="0.2">
      <c r="B19" s="667" t="s">
        <v>244</v>
      </c>
      <c r="C19" s="667"/>
      <c r="D19" s="92">
        <v>0.49</v>
      </c>
      <c r="E19" s="92">
        <v>0.49</v>
      </c>
      <c r="F19" s="92">
        <v>0.54</v>
      </c>
      <c r="G19" s="119">
        <v>0.44</v>
      </c>
      <c r="H19" s="200">
        <v>0.69310000000000005</v>
      </c>
      <c r="I19" s="200">
        <v>0.37</v>
      </c>
      <c r="J19" s="121"/>
      <c r="K19" s="21"/>
      <c r="L19" s="26"/>
      <c r="M19" s="26"/>
    </row>
    <row r="20" spans="2:15" ht="41.25" customHeight="1" x14ac:dyDescent="0.2">
      <c r="B20" s="667" t="s">
        <v>344</v>
      </c>
      <c r="C20" s="667"/>
      <c r="D20" s="35" t="s">
        <v>290</v>
      </c>
      <c r="E20" s="92">
        <v>0.7</v>
      </c>
      <c r="F20" s="92">
        <v>0.86</v>
      </c>
      <c r="G20" s="92">
        <v>0.88</v>
      </c>
      <c r="H20" s="92">
        <v>0.88939999999999997</v>
      </c>
      <c r="I20" s="92">
        <v>0.86</v>
      </c>
      <c r="J20" s="121"/>
      <c r="K20" s="21"/>
      <c r="L20" s="26"/>
      <c r="M20" s="26"/>
    </row>
    <row r="21" spans="2:15" ht="41.25" customHeight="1" x14ac:dyDescent="0.2">
      <c r="B21" s="667" t="s">
        <v>246</v>
      </c>
      <c r="C21" s="667"/>
      <c r="D21" s="92">
        <v>0.66</v>
      </c>
      <c r="E21" s="92">
        <v>0.8</v>
      </c>
      <c r="F21" s="92">
        <v>0.74</v>
      </c>
      <c r="G21" s="92">
        <v>0.78</v>
      </c>
      <c r="H21" s="92">
        <v>0.73199999999999998</v>
      </c>
      <c r="I21" s="92">
        <v>0.71</v>
      </c>
      <c r="J21" s="27"/>
    </row>
    <row r="22" spans="2:15" ht="41.25" customHeight="1" x14ac:dyDescent="0.2">
      <c r="B22" s="667" t="s">
        <v>247</v>
      </c>
      <c r="C22" s="667"/>
      <c r="D22" s="92">
        <v>0.82</v>
      </c>
      <c r="E22" s="92">
        <v>0.65</v>
      </c>
      <c r="F22" s="92">
        <v>0.79</v>
      </c>
      <c r="G22" s="92">
        <v>0.77</v>
      </c>
      <c r="H22" s="92">
        <v>0.81359999999999999</v>
      </c>
      <c r="I22" s="92">
        <v>0.81</v>
      </c>
      <c r="J22" s="28"/>
      <c r="K22" s="53"/>
      <c r="L22" s="53"/>
      <c r="M22" s="53"/>
      <c r="N22" s="53"/>
      <c r="O22" s="53"/>
    </row>
    <row r="23" spans="2:15" ht="41.25" customHeight="1" x14ac:dyDescent="0.2">
      <c r="B23" s="667" t="s">
        <v>248</v>
      </c>
      <c r="C23" s="667"/>
      <c r="D23" s="92">
        <v>0.68</v>
      </c>
      <c r="E23" s="92">
        <v>0.72</v>
      </c>
      <c r="F23" s="92">
        <v>0.78</v>
      </c>
      <c r="G23" s="92">
        <v>0.77</v>
      </c>
      <c r="H23" s="92">
        <v>0.80940000000000001</v>
      </c>
      <c r="I23" s="92">
        <v>0.72</v>
      </c>
      <c r="J23" s="28"/>
      <c r="K23" s="53"/>
      <c r="L23" s="53"/>
      <c r="M23" s="53"/>
      <c r="N23" s="53"/>
      <c r="O23" s="53"/>
    </row>
    <row r="24" spans="2:15" ht="22.5" customHeight="1" x14ac:dyDescent="0.25">
      <c r="B24" s="766" t="e">
        <f>D5</f>
        <v>#REF!</v>
      </c>
      <c r="C24" s="767"/>
      <c r="D24" s="56">
        <f>COUNTIF(D13:D23,"&gt;=70%")</f>
        <v>6</v>
      </c>
      <c r="E24" s="56">
        <f t="shared" ref="E24:G24" si="0">COUNTIF(E13:E23,"&gt;=70%")</f>
        <v>9</v>
      </c>
      <c r="F24" s="56">
        <f t="shared" si="0"/>
        <v>9</v>
      </c>
      <c r="G24" s="56">
        <f t="shared" si="0"/>
        <v>9</v>
      </c>
      <c r="H24" s="56">
        <f>COUNTIF(H13:H23,"&gt;=70%")</f>
        <v>9</v>
      </c>
      <c r="I24" s="56">
        <f>COUNTIF(I13:I23,"&gt;=70%")</f>
        <v>10</v>
      </c>
    </row>
    <row r="25" spans="2:15" ht="22.5" customHeight="1" x14ac:dyDescent="0.25">
      <c r="B25" s="644" t="s">
        <v>268</v>
      </c>
      <c r="C25" s="644"/>
      <c r="D25" s="108">
        <f t="shared" ref="D25:I25" si="1">COUNT(D13:D23)</f>
        <v>10</v>
      </c>
      <c r="E25" s="108">
        <f t="shared" si="1"/>
        <v>11</v>
      </c>
      <c r="F25" s="108">
        <f t="shared" si="1"/>
        <v>11</v>
      </c>
      <c r="G25" s="108">
        <f t="shared" si="1"/>
        <v>11</v>
      </c>
      <c r="H25" s="108">
        <f t="shared" si="1"/>
        <v>11</v>
      </c>
      <c r="I25" s="108">
        <f t="shared" si="1"/>
        <v>11</v>
      </c>
    </row>
    <row r="26" spans="2:15" ht="22.5" customHeight="1" x14ac:dyDescent="0.2">
      <c r="B26" s="640" t="s">
        <v>225</v>
      </c>
      <c r="C26" s="706"/>
      <c r="D26" s="119" t="e">
        <f>$D5</f>
        <v>#REF!</v>
      </c>
      <c r="E26" s="119" t="e">
        <f t="shared" ref="E26:G26" si="2">$D5</f>
        <v>#REF!</v>
      </c>
      <c r="F26" s="119" t="e">
        <f t="shared" si="2"/>
        <v>#REF!</v>
      </c>
      <c r="G26" s="119" t="e">
        <f t="shared" si="2"/>
        <v>#REF!</v>
      </c>
      <c r="H26" s="119" t="e">
        <f>$D5</f>
        <v>#REF!</v>
      </c>
      <c r="I26" s="119" t="e">
        <f>$D5</f>
        <v>#REF!</v>
      </c>
    </row>
    <row r="27" spans="2:15" ht="22.5" customHeight="1" x14ac:dyDescent="0.2">
      <c r="B27" s="640" t="s">
        <v>226</v>
      </c>
      <c r="C27" s="706"/>
      <c r="D27" s="57">
        <f t="shared" ref="D27:I27" si="3">D24/D25</f>
        <v>0.6</v>
      </c>
      <c r="E27" s="57">
        <f t="shared" si="3"/>
        <v>0.81818181818181823</v>
      </c>
      <c r="F27" s="57">
        <f t="shared" si="3"/>
        <v>0.81818181818181823</v>
      </c>
      <c r="G27" s="57">
        <f t="shared" si="3"/>
        <v>0.81818181818181823</v>
      </c>
      <c r="H27" s="57">
        <f t="shared" si="3"/>
        <v>0.81818181818181823</v>
      </c>
      <c r="I27" s="57">
        <f t="shared" si="3"/>
        <v>0.90909090909090906</v>
      </c>
    </row>
    <row r="28" spans="2:15" ht="22.5" customHeight="1" x14ac:dyDescent="0.25">
      <c r="B28" s="5"/>
      <c r="C28" s="5"/>
      <c r="D28" s="4"/>
      <c r="E28" s="4"/>
      <c r="F28" s="4"/>
      <c r="G28" s="4"/>
      <c r="H28" s="4"/>
      <c r="I28" s="4"/>
      <c r="J28" s="4"/>
    </row>
    <row r="29" spans="2:15" ht="22.5" customHeight="1" x14ac:dyDescent="0.2">
      <c r="B29" s="572" t="s">
        <v>227</v>
      </c>
      <c r="C29" s="573"/>
      <c r="D29" s="573"/>
      <c r="E29" s="574"/>
      <c r="F29" s="6"/>
      <c r="L29" s="572" t="s">
        <v>228</v>
      </c>
      <c r="M29" s="573"/>
      <c r="N29" s="573"/>
      <c r="O29" s="574"/>
    </row>
    <row r="30" spans="2:15" ht="22.5" customHeight="1" x14ac:dyDescent="0.2">
      <c r="B30" s="6"/>
      <c r="C30" s="6"/>
      <c r="D30" s="6"/>
      <c r="E30" s="6"/>
      <c r="F30" s="6"/>
      <c r="L30" s="7"/>
      <c r="M30" s="7"/>
      <c r="N30" s="7"/>
      <c r="O30" s="7"/>
    </row>
    <row r="31" spans="2:15" ht="6" customHeight="1" x14ac:dyDescent="0.2">
      <c r="B31" s="6"/>
      <c r="C31" s="6"/>
      <c r="D31" s="6"/>
      <c r="E31" s="6"/>
      <c r="F31" s="6"/>
      <c r="L31" s="610" t="s">
        <v>403</v>
      </c>
      <c r="M31" s="560"/>
      <c r="N31" s="560"/>
      <c r="O31" s="561"/>
    </row>
    <row r="32" spans="2:15" ht="19.5" customHeight="1" x14ac:dyDescent="0.2">
      <c r="B32" s="6"/>
      <c r="C32" s="6"/>
      <c r="D32" s="6"/>
      <c r="E32" s="6"/>
      <c r="F32" s="6"/>
      <c r="L32" s="562"/>
      <c r="M32" s="563"/>
      <c r="N32" s="563"/>
      <c r="O32" s="564"/>
    </row>
    <row r="33" spans="8:15" ht="19.5" customHeight="1" x14ac:dyDescent="0.2">
      <c r="L33" s="562"/>
      <c r="M33" s="563"/>
      <c r="N33" s="563"/>
      <c r="O33" s="564"/>
    </row>
    <row r="34" spans="8:15" ht="19.5" customHeight="1" x14ac:dyDescent="0.2">
      <c r="L34" s="562"/>
      <c r="M34" s="563"/>
      <c r="N34" s="563"/>
      <c r="O34" s="564"/>
    </row>
    <row r="35" spans="8:15" ht="19.5" customHeight="1" x14ac:dyDescent="0.2">
      <c r="L35" s="562"/>
      <c r="M35" s="563"/>
      <c r="N35" s="563"/>
      <c r="O35" s="564"/>
    </row>
    <row r="36" spans="8:15" ht="19.5" customHeight="1" x14ac:dyDescent="0.2">
      <c r="L36" s="562"/>
      <c r="M36" s="563"/>
      <c r="N36" s="563"/>
      <c r="O36" s="564"/>
    </row>
    <row r="37" spans="8:15" ht="19.5" customHeight="1" x14ac:dyDescent="0.2">
      <c r="L37" s="562"/>
      <c r="M37" s="563"/>
      <c r="N37" s="563"/>
      <c r="O37" s="564"/>
    </row>
    <row r="38" spans="8:15" ht="19.5" customHeight="1" x14ac:dyDescent="0.2">
      <c r="L38" s="562"/>
      <c r="M38" s="563"/>
      <c r="N38" s="563"/>
      <c r="O38" s="564"/>
    </row>
    <row r="39" spans="8:15" ht="19.5" customHeight="1" x14ac:dyDescent="0.2">
      <c r="L39" s="565"/>
      <c r="M39" s="566"/>
      <c r="N39" s="566"/>
      <c r="O39" s="567"/>
    </row>
    <row r="40" spans="8:15" ht="19.5" customHeight="1" x14ac:dyDescent="0.2"/>
    <row r="41" spans="8:15" ht="19.5" customHeight="1" x14ac:dyDescent="0.2">
      <c r="H41" s="568" t="s">
        <v>169</v>
      </c>
      <c r="I41" s="569"/>
      <c r="J41" s="569"/>
    </row>
  </sheetData>
  <sheetProtection algorithmName="SHA-512" hashValue="wQYjSBoSgs8a/W8s9HEsYJMIkYpXiMTGxcEbW43chHIPe+kMXfcQHP6DpLbFSJw8ok1T5gtLpyGsaJa1ZbFn4A==" saltValue="dZJMV0+PiR6+wqpQrV1eGQ==" spinCount="100000" sheet="1" formatCells="0" formatColumns="0" formatRows="0" insertColumns="0" insertRows="0" insertHyperlinks="0" deleteColumns="0" deleteRows="0" pivotTables="0"/>
  <mergeCells count="35">
    <mergeCell ref="H41:J41"/>
    <mergeCell ref="B25:C25"/>
    <mergeCell ref="B26:C26"/>
    <mergeCell ref="B27:C27"/>
    <mergeCell ref="B29:E29"/>
    <mergeCell ref="L29:O29"/>
    <mergeCell ref="L31:O39"/>
    <mergeCell ref="B24:C24"/>
    <mergeCell ref="B9:J9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18:C18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23">
    <cfRule type="cellIs" dxfId="38" priority="1" operator="lessThan">
      <formula>0.7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0A98-DD26-4DC9-A6C8-3323C5CF61E7}">
  <sheetPr>
    <tabColor theme="9" tint="-0.499984740745262"/>
    <pageSetUpPr fitToPage="1"/>
  </sheetPr>
  <dimension ref="B2:O31"/>
  <sheetViews>
    <sheetView showGridLines="0" topLeftCell="A24" workbookViewId="0">
      <selection activeCell="J30" sqref="J30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230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421" t="e">
        <f>#REF!</f>
        <v>#REF!</v>
      </c>
      <c r="I6" s="395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22"/>
    </row>
    <row r="13" spans="2:10" ht="41.25" customHeight="1" x14ac:dyDescent="0.2">
      <c r="B13" s="667" t="s">
        <v>404</v>
      </c>
      <c r="C13" s="667"/>
      <c r="D13" s="92" t="s">
        <v>311</v>
      </c>
      <c r="E13" s="92" t="s">
        <v>311</v>
      </c>
      <c r="F13" s="91">
        <v>58</v>
      </c>
      <c r="G13" s="91">
        <v>78</v>
      </c>
      <c r="H13" s="91">
        <v>77</v>
      </c>
      <c r="I13" s="16"/>
      <c r="J13" s="121"/>
    </row>
    <row r="14" spans="2:10" ht="22.5" customHeight="1" x14ac:dyDescent="0.25">
      <c r="B14" s="768" t="s">
        <v>405</v>
      </c>
      <c r="C14" s="768"/>
      <c r="D14" s="197" t="s">
        <v>231</v>
      </c>
      <c r="E14" s="197" t="s">
        <v>311</v>
      </c>
      <c r="F14" s="197" t="s">
        <v>311</v>
      </c>
      <c r="G14" s="197">
        <v>58</v>
      </c>
      <c r="H14" s="197">
        <v>78</v>
      </c>
    </row>
    <row r="15" spans="2:10" ht="22.5" customHeight="1" x14ac:dyDescent="0.2">
      <c r="B15" s="640" t="s">
        <v>225</v>
      </c>
      <c r="C15" s="706"/>
      <c r="D15" s="119" t="e">
        <f t="shared" ref="D15:F15" si="0">$D5</f>
        <v>#REF!</v>
      </c>
      <c r="E15" s="119" t="e">
        <f t="shared" si="0"/>
        <v>#REF!</v>
      </c>
      <c r="F15" s="119" t="e">
        <f t="shared" si="0"/>
        <v>#REF!</v>
      </c>
      <c r="G15" s="119" t="e">
        <f>$D5</f>
        <v>#REF!</v>
      </c>
      <c r="H15" s="119" t="e">
        <f>$D5</f>
        <v>#REF!</v>
      </c>
      <c r="I15" s="23"/>
    </row>
    <row r="16" spans="2:10" ht="22.5" customHeight="1" x14ac:dyDescent="0.2">
      <c r="B16" s="769" t="s">
        <v>406</v>
      </c>
      <c r="C16" s="706"/>
      <c r="D16" s="57" t="s">
        <v>231</v>
      </c>
      <c r="E16" s="57" t="s">
        <v>231</v>
      </c>
      <c r="F16" s="198" t="s">
        <v>231</v>
      </c>
      <c r="G16" s="199">
        <f>(G13-G14)/G14*100</f>
        <v>34.482758620689658</v>
      </c>
      <c r="H16" s="199">
        <f>(H13-H14)/H14*100</f>
        <v>-1.2820512820512819</v>
      </c>
      <c r="I16" s="24"/>
    </row>
    <row r="19" spans="2:15" ht="22.5" customHeight="1" x14ac:dyDescent="0.2">
      <c r="B19" s="572" t="s">
        <v>227</v>
      </c>
      <c r="C19" s="573"/>
      <c r="D19" s="573"/>
      <c r="E19" s="574"/>
      <c r="F19" s="6"/>
      <c r="L19" s="572" t="s">
        <v>228</v>
      </c>
      <c r="M19" s="573"/>
      <c r="N19" s="573"/>
      <c r="O19" s="574"/>
    </row>
    <row r="20" spans="2:15" ht="22.5" customHeight="1" x14ac:dyDescent="0.2">
      <c r="B20" s="6"/>
      <c r="C20" s="6"/>
      <c r="D20" s="6"/>
      <c r="E20" s="6"/>
      <c r="F20" s="6"/>
      <c r="L20" s="7"/>
      <c r="M20" s="7"/>
      <c r="N20" s="7"/>
      <c r="O20" s="7"/>
    </row>
    <row r="21" spans="2:15" ht="6" customHeight="1" x14ac:dyDescent="0.2">
      <c r="B21" s="6"/>
      <c r="C21" s="6"/>
      <c r="D21" s="6"/>
      <c r="E21" s="6"/>
      <c r="F21" s="6"/>
      <c r="L21" s="610" t="s">
        <v>403</v>
      </c>
      <c r="M21" s="560"/>
      <c r="N21" s="560"/>
      <c r="O21" s="561"/>
    </row>
    <row r="22" spans="2:15" ht="19.5" customHeight="1" x14ac:dyDescent="0.2">
      <c r="B22" s="6"/>
      <c r="C22" s="6"/>
      <c r="D22" s="6"/>
      <c r="E22" s="6"/>
      <c r="F22" s="6"/>
      <c r="L22" s="562"/>
      <c r="M22" s="563"/>
      <c r="N22" s="563"/>
      <c r="O22" s="564"/>
    </row>
    <row r="23" spans="2:15" ht="19.5" customHeight="1" x14ac:dyDescent="0.2">
      <c r="B23" s="6"/>
      <c r="C23" s="6"/>
      <c r="D23" s="6"/>
      <c r="E23" s="6"/>
      <c r="F23" s="6"/>
      <c r="L23" s="562"/>
      <c r="M23" s="563"/>
      <c r="N23" s="563"/>
      <c r="O23" s="564"/>
    </row>
    <row r="24" spans="2:15" ht="19.5" customHeight="1" x14ac:dyDescent="0.2">
      <c r="B24" s="6"/>
      <c r="C24" s="6"/>
      <c r="D24" s="6"/>
      <c r="E24" s="6"/>
      <c r="F24" s="6"/>
      <c r="L24" s="562"/>
      <c r="M24" s="563"/>
      <c r="N24" s="563"/>
      <c r="O24" s="564"/>
    </row>
    <row r="25" spans="2:15" ht="19.5" customHeight="1" x14ac:dyDescent="0.2">
      <c r="B25" s="6"/>
      <c r="C25" s="6"/>
      <c r="D25" s="6"/>
      <c r="E25" s="6"/>
      <c r="F25" s="6"/>
      <c r="L25" s="562"/>
      <c r="M25" s="563"/>
      <c r="N25" s="563"/>
      <c r="O25" s="564"/>
    </row>
    <row r="26" spans="2:15" ht="19.5" customHeight="1" x14ac:dyDescent="0.2">
      <c r="B26" s="6"/>
      <c r="C26" s="6"/>
      <c r="D26" s="6"/>
      <c r="E26" s="6"/>
      <c r="F26" s="6"/>
      <c r="L26" s="562"/>
      <c r="M26" s="563"/>
      <c r="N26" s="563"/>
      <c r="O26" s="564"/>
    </row>
    <row r="27" spans="2:15" ht="19.5" customHeight="1" x14ac:dyDescent="0.2">
      <c r="B27" s="6"/>
      <c r="C27" s="6"/>
      <c r="D27" s="6"/>
      <c r="E27" s="6"/>
      <c r="F27" s="6"/>
      <c r="L27" s="562"/>
      <c r="M27" s="563"/>
      <c r="N27" s="563"/>
      <c r="O27" s="564"/>
    </row>
    <row r="28" spans="2:15" ht="19.5" customHeight="1" x14ac:dyDescent="0.2">
      <c r="B28" s="6"/>
      <c r="C28" s="6"/>
      <c r="D28" s="6"/>
      <c r="E28" s="6"/>
      <c r="F28" s="6"/>
      <c r="L28" s="562"/>
      <c r="M28" s="563"/>
      <c r="N28" s="563"/>
      <c r="O28" s="564"/>
    </row>
    <row r="29" spans="2:15" ht="19.5" customHeight="1" x14ac:dyDescent="0.2">
      <c r="B29" s="6"/>
      <c r="C29" s="6"/>
      <c r="D29" s="6"/>
      <c r="E29" s="6"/>
      <c r="F29" s="6"/>
      <c r="L29" s="565"/>
      <c r="M29" s="566"/>
      <c r="N29" s="566"/>
      <c r="O29" s="567"/>
    </row>
    <row r="30" spans="2:15" ht="19.5" customHeight="1" x14ac:dyDescent="0.2"/>
    <row r="31" spans="2:15" ht="19.5" customHeight="1" x14ac:dyDescent="0.2">
      <c r="H31" s="568" t="s">
        <v>169</v>
      </c>
      <c r="I31" s="569"/>
      <c r="J31" s="569"/>
    </row>
  </sheetData>
  <sheetProtection sheet="1" formatCells="0" formatColumns="0" formatRows="0" insertColumns="0" insertRows="0" insertHyperlinks="0" deleteColumns="0" deleteRows="0" pivotTables="0"/>
  <mergeCells count="24">
    <mergeCell ref="H31:J31"/>
    <mergeCell ref="B15:C15"/>
    <mergeCell ref="B16:C16"/>
    <mergeCell ref="D6:E6"/>
    <mergeCell ref="F6:G6"/>
    <mergeCell ref="B19:E19"/>
    <mergeCell ref="B2:D2"/>
    <mergeCell ref="E2:J2"/>
    <mergeCell ref="B4:C4"/>
    <mergeCell ref="D4:E4"/>
    <mergeCell ref="F4:G4"/>
    <mergeCell ref="H4:J4"/>
    <mergeCell ref="H5:J5"/>
    <mergeCell ref="B6:C6"/>
    <mergeCell ref="L19:O19"/>
    <mergeCell ref="L21:O29"/>
    <mergeCell ref="B14:C14"/>
    <mergeCell ref="B7:C7"/>
    <mergeCell ref="D7:J7"/>
    <mergeCell ref="B9:J9"/>
    <mergeCell ref="B13:C13"/>
    <mergeCell ref="B5:C5"/>
    <mergeCell ref="D5:E5"/>
    <mergeCell ref="F5:G5"/>
  </mergeCells>
  <conditionalFormatting sqref="D13:H13">
    <cfRule type="cellIs" dxfId="37" priority="1" operator="between">
      <formula>0</formula>
      <formula>0.63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502A-E575-473B-B953-CFAD7CAF91E5}">
  <sheetPr>
    <tabColor theme="9" tint="-0.499984740745262"/>
    <pageSetUpPr fitToPage="1"/>
  </sheetPr>
  <dimension ref="B2:N42"/>
  <sheetViews>
    <sheetView showGridLines="0" topLeftCell="A28" workbookViewId="0">
      <selection activeCell="J38" sqref="J38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5" t="s">
        <v>218</v>
      </c>
      <c r="E12" s="105" t="s">
        <v>219</v>
      </c>
      <c r="F12" s="105" t="s">
        <v>220</v>
      </c>
      <c r="G12" s="105" t="s">
        <v>221</v>
      </c>
      <c r="H12" s="105" t="s">
        <v>222</v>
      </c>
      <c r="I12" s="105" t="s">
        <v>223</v>
      </c>
    </row>
    <row r="13" spans="2:10" ht="41.25" customHeight="1" x14ac:dyDescent="0.3">
      <c r="B13" s="667" t="s">
        <v>238</v>
      </c>
      <c r="C13" s="667"/>
      <c r="D13" s="42">
        <v>3</v>
      </c>
      <c r="E13" s="42" t="s">
        <v>231</v>
      </c>
      <c r="F13" s="42">
        <v>2</v>
      </c>
      <c r="G13" s="42">
        <v>3.4</v>
      </c>
      <c r="H13" s="40">
        <v>2.69</v>
      </c>
      <c r="I13" s="422" t="s">
        <v>254</v>
      </c>
      <c r="J13" s="121"/>
    </row>
    <row r="14" spans="2:10" ht="41.25" customHeight="1" x14ac:dyDescent="0.3">
      <c r="B14" s="667" t="s">
        <v>337</v>
      </c>
      <c r="C14" s="667"/>
      <c r="D14" s="42" t="s">
        <v>231</v>
      </c>
      <c r="E14" s="42" t="s">
        <v>231</v>
      </c>
      <c r="F14" s="42">
        <v>2.6</v>
      </c>
      <c r="G14" s="42">
        <v>3</v>
      </c>
      <c r="H14" s="40" t="s">
        <v>407</v>
      </c>
      <c r="I14" s="422" t="s">
        <v>254</v>
      </c>
      <c r="J14" s="121"/>
    </row>
    <row r="15" spans="2:10" ht="41.25" customHeight="1" x14ac:dyDescent="0.3">
      <c r="B15" s="667" t="s">
        <v>287</v>
      </c>
      <c r="C15" s="667"/>
      <c r="D15" s="42" t="s">
        <v>231</v>
      </c>
      <c r="E15" s="42">
        <v>3.8</v>
      </c>
      <c r="F15" s="42">
        <v>3.5</v>
      </c>
      <c r="G15" s="42">
        <v>3</v>
      </c>
      <c r="H15" s="40">
        <v>2.83</v>
      </c>
      <c r="I15" s="422" t="s">
        <v>254</v>
      </c>
      <c r="J15" s="121"/>
    </row>
    <row r="16" spans="2:10" ht="41.25" customHeight="1" x14ac:dyDescent="0.3">
      <c r="B16" s="667" t="s">
        <v>241</v>
      </c>
      <c r="C16" s="667"/>
      <c r="D16" s="42">
        <v>1.89</v>
      </c>
      <c r="E16" s="42">
        <v>2.4300000000000002</v>
      </c>
      <c r="F16" s="42">
        <v>2.62</v>
      </c>
      <c r="G16" s="25">
        <v>2.5</v>
      </c>
      <c r="H16" s="40">
        <v>2.68</v>
      </c>
      <c r="I16" s="422" t="s">
        <v>254</v>
      </c>
      <c r="J16" s="121"/>
    </row>
    <row r="17" spans="2:14" ht="41.25" customHeight="1" x14ac:dyDescent="0.3">
      <c r="B17" s="667" t="s">
        <v>330</v>
      </c>
      <c r="C17" s="667"/>
      <c r="D17" s="42" t="s">
        <v>231</v>
      </c>
      <c r="E17" s="42" t="s">
        <v>231</v>
      </c>
      <c r="F17" s="42" t="s">
        <v>231</v>
      </c>
      <c r="G17" s="42">
        <v>4</v>
      </c>
      <c r="H17" s="40">
        <v>2.89</v>
      </c>
      <c r="I17" s="422" t="s">
        <v>254</v>
      </c>
      <c r="J17" s="121"/>
      <c r="K17" s="21"/>
      <c r="L17" s="26"/>
      <c r="M17" s="26"/>
    </row>
    <row r="18" spans="2:14" ht="41.25" customHeight="1" x14ac:dyDescent="0.3">
      <c r="B18" s="667" t="s">
        <v>331</v>
      </c>
      <c r="C18" s="667"/>
      <c r="D18" s="42">
        <v>2.5</v>
      </c>
      <c r="E18" s="42">
        <v>3.29</v>
      </c>
      <c r="F18" s="42" t="s">
        <v>231</v>
      </c>
      <c r="G18" s="42">
        <v>3.5</v>
      </c>
      <c r="H18" s="40" t="s">
        <v>408</v>
      </c>
      <c r="I18" s="422" t="s">
        <v>254</v>
      </c>
      <c r="J18" s="121"/>
      <c r="K18" s="21"/>
      <c r="L18" s="26"/>
      <c r="M18" s="26"/>
    </row>
    <row r="19" spans="2:14" ht="41.25" customHeight="1" x14ac:dyDescent="0.3">
      <c r="B19" s="667" t="s">
        <v>244</v>
      </c>
      <c r="C19" s="667"/>
      <c r="D19" s="42">
        <v>3.6</v>
      </c>
      <c r="E19" s="42" t="s">
        <v>231</v>
      </c>
      <c r="F19" s="42" t="s">
        <v>231</v>
      </c>
      <c r="G19" s="42" t="s">
        <v>231</v>
      </c>
      <c r="H19" s="40" t="s">
        <v>409</v>
      </c>
      <c r="I19" s="422" t="s">
        <v>254</v>
      </c>
      <c r="J19" s="121"/>
      <c r="K19" s="21"/>
      <c r="L19" s="26"/>
      <c r="M19" s="26"/>
    </row>
    <row r="20" spans="2:14" ht="41.25" customHeight="1" x14ac:dyDescent="0.3">
      <c r="B20" s="730" t="s">
        <v>410</v>
      </c>
      <c r="C20" s="735"/>
      <c r="D20" s="42" t="s">
        <v>231</v>
      </c>
      <c r="E20" s="42" t="s">
        <v>231</v>
      </c>
      <c r="F20" s="42" t="s">
        <v>231</v>
      </c>
      <c r="G20" s="42" t="s">
        <v>231</v>
      </c>
      <c r="H20" s="40">
        <v>4</v>
      </c>
      <c r="I20" s="422" t="s">
        <v>254</v>
      </c>
      <c r="J20" s="121"/>
      <c r="K20" s="21"/>
      <c r="L20" s="26"/>
      <c r="M20" s="26"/>
    </row>
    <row r="21" spans="2:14" ht="41.25" customHeight="1" x14ac:dyDescent="0.3">
      <c r="B21" s="667" t="s">
        <v>246</v>
      </c>
      <c r="C21" s="667"/>
      <c r="D21" s="42">
        <v>3.3</v>
      </c>
      <c r="E21" s="42">
        <v>3.07</v>
      </c>
      <c r="F21" s="42">
        <v>3.09</v>
      </c>
      <c r="G21" s="42">
        <v>2.4</v>
      </c>
      <c r="H21" s="40" t="s">
        <v>411</v>
      </c>
      <c r="I21" s="422" t="s">
        <v>254</v>
      </c>
      <c r="J21" s="27"/>
    </row>
    <row r="22" spans="2:14" ht="41.25" customHeight="1" x14ac:dyDescent="0.3">
      <c r="B22" s="667" t="s">
        <v>247</v>
      </c>
      <c r="C22" s="667"/>
      <c r="D22" s="42">
        <v>2.82</v>
      </c>
      <c r="E22" s="42">
        <v>2.56</v>
      </c>
      <c r="F22" s="42">
        <v>3.4</v>
      </c>
      <c r="G22" s="42">
        <v>1.5</v>
      </c>
      <c r="H22" s="40" t="s">
        <v>412</v>
      </c>
      <c r="I22" s="422" t="s">
        <v>254</v>
      </c>
      <c r="J22" s="28"/>
      <c r="K22" s="53"/>
      <c r="L22" s="53"/>
      <c r="M22" s="53"/>
      <c r="N22" s="53"/>
    </row>
    <row r="23" spans="2:14" ht="41.25" customHeight="1" x14ac:dyDescent="0.3">
      <c r="B23" s="667" t="s">
        <v>248</v>
      </c>
      <c r="C23" s="667"/>
      <c r="D23" s="42">
        <v>3.23</v>
      </c>
      <c r="E23" s="42">
        <v>3</v>
      </c>
      <c r="F23" s="42">
        <v>3.25</v>
      </c>
      <c r="G23" s="42">
        <v>3.75</v>
      </c>
      <c r="H23" s="40" t="s">
        <v>413</v>
      </c>
      <c r="I23" s="422" t="s">
        <v>254</v>
      </c>
      <c r="J23" s="28"/>
      <c r="K23" s="53"/>
      <c r="L23" s="53"/>
      <c r="M23" s="53"/>
      <c r="N23" s="53"/>
    </row>
    <row r="24" spans="2:14" ht="22.5" customHeight="1" x14ac:dyDescent="0.3">
      <c r="B24" s="770" t="s">
        <v>414</v>
      </c>
      <c r="C24" s="770"/>
      <c r="D24" s="56">
        <f>COUNTIF(D13:D23,"&gt;=3")</f>
        <v>4</v>
      </c>
      <c r="E24" s="56">
        <f t="shared" ref="E24:G24" si="0">COUNTIF(E13:E23,"&gt;=3")</f>
        <v>4</v>
      </c>
      <c r="F24" s="56">
        <f t="shared" si="0"/>
        <v>4</v>
      </c>
      <c r="G24" s="56">
        <f t="shared" si="0"/>
        <v>6</v>
      </c>
      <c r="H24" s="56">
        <v>7</v>
      </c>
      <c r="I24" s="422" t="s">
        <v>254</v>
      </c>
    </row>
    <row r="25" spans="2:14" ht="22.5" customHeight="1" x14ac:dyDescent="0.3">
      <c r="B25" s="702" t="s">
        <v>268</v>
      </c>
      <c r="C25" s="702"/>
      <c r="D25" s="51">
        <f>COUNT(D13:D23)</f>
        <v>7</v>
      </c>
      <c r="E25" s="51">
        <f>COUNT(E13:E23)</f>
        <v>6</v>
      </c>
      <c r="F25" s="51">
        <f>COUNT(F13:F23)</f>
        <v>7</v>
      </c>
      <c r="G25" s="51">
        <f>COUNT(G13:G23)</f>
        <v>9</v>
      </c>
      <c r="H25" s="51">
        <v>11</v>
      </c>
      <c r="I25" s="422" t="s">
        <v>254</v>
      </c>
    </row>
    <row r="26" spans="2:14" ht="22.5" customHeight="1" x14ac:dyDescent="0.2">
      <c r="B26" s="210" t="s">
        <v>225</v>
      </c>
      <c r="C26" s="218" t="e">
        <f>D5</f>
        <v>#REF!</v>
      </c>
      <c r="D26" s="59">
        <v>3</v>
      </c>
      <c r="E26" s="59">
        <v>3</v>
      </c>
      <c r="F26" s="59">
        <v>3</v>
      </c>
      <c r="G26" s="59">
        <v>3</v>
      </c>
      <c r="H26" s="59">
        <v>3</v>
      </c>
      <c r="I26" s="59">
        <v>3</v>
      </c>
    </row>
    <row r="27" spans="2:14" ht="22.5" customHeight="1" x14ac:dyDescent="0.3">
      <c r="B27" s="640" t="s">
        <v>226</v>
      </c>
      <c r="C27" s="706"/>
      <c r="D27" s="57">
        <f t="shared" ref="D27:H27" si="1">D24/D25</f>
        <v>0.5714285714285714</v>
      </c>
      <c r="E27" s="57">
        <f t="shared" si="1"/>
        <v>0.66666666666666663</v>
      </c>
      <c r="F27" s="57">
        <f t="shared" si="1"/>
        <v>0.5714285714285714</v>
      </c>
      <c r="G27" s="57">
        <f t="shared" si="1"/>
        <v>0.66666666666666663</v>
      </c>
      <c r="H27" s="57">
        <f t="shared" si="1"/>
        <v>0.63636363636363635</v>
      </c>
      <c r="I27" s="422" t="s">
        <v>254</v>
      </c>
    </row>
    <row r="28" spans="2:14" ht="22.5" customHeight="1" x14ac:dyDescent="0.3">
      <c r="B28" s="219" t="s">
        <v>415</v>
      </c>
      <c r="C28" s="220"/>
      <c r="D28" s="57" t="s">
        <v>231</v>
      </c>
      <c r="E28" s="57" t="s">
        <v>231</v>
      </c>
      <c r="F28" s="57" t="s">
        <v>231</v>
      </c>
      <c r="G28" s="57" t="s">
        <v>231</v>
      </c>
      <c r="H28" s="57">
        <v>0.34379999999999999</v>
      </c>
      <c r="I28" s="422" t="s">
        <v>254</v>
      </c>
    </row>
    <row r="29" spans="2:14" ht="22.5" customHeight="1" x14ac:dyDescent="0.25">
      <c r="B29" s="5"/>
      <c r="C29" s="5"/>
      <c r="D29" s="4"/>
      <c r="E29" s="4"/>
      <c r="F29" s="4"/>
      <c r="G29" s="4"/>
      <c r="H29" s="4"/>
      <c r="I29" s="4"/>
      <c r="J29" s="4"/>
    </row>
    <row r="30" spans="2:14" ht="22.5" customHeight="1" x14ac:dyDescent="0.2">
      <c r="B30" s="572" t="s">
        <v>227</v>
      </c>
      <c r="C30" s="573"/>
      <c r="D30" s="573"/>
      <c r="E30" s="574"/>
      <c r="F30" s="6"/>
      <c r="K30" s="572" t="s">
        <v>228</v>
      </c>
      <c r="L30" s="573"/>
      <c r="M30" s="573"/>
      <c r="N30" s="574"/>
    </row>
    <row r="31" spans="2:14" ht="22.5" customHeight="1" x14ac:dyDescent="0.2">
      <c r="B31" s="6"/>
      <c r="C31" s="6"/>
      <c r="D31" s="6"/>
      <c r="E31" s="6"/>
      <c r="F31" s="6"/>
      <c r="K31" s="7"/>
      <c r="L31" s="7"/>
      <c r="M31" s="7"/>
      <c r="N31" s="7"/>
    </row>
    <row r="32" spans="2:14" ht="6" customHeight="1" x14ac:dyDescent="0.2">
      <c r="B32" s="6"/>
      <c r="C32" s="6"/>
      <c r="D32" s="6"/>
      <c r="E32" s="6"/>
      <c r="F32" s="6"/>
      <c r="K32" s="610" t="s">
        <v>416</v>
      </c>
      <c r="L32" s="560"/>
      <c r="M32" s="560"/>
      <c r="N32" s="561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2"/>
      <c r="L36" s="563"/>
      <c r="M36" s="563"/>
      <c r="N36" s="564"/>
    </row>
    <row r="37" spans="8:14" ht="19.5" customHeight="1" x14ac:dyDescent="0.2">
      <c r="K37" s="562"/>
      <c r="L37" s="563"/>
      <c r="M37" s="563"/>
      <c r="N37" s="564"/>
    </row>
    <row r="38" spans="8:14" ht="19.5" customHeight="1" x14ac:dyDescent="0.2">
      <c r="K38" s="562"/>
      <c r="L38" s="563"/>
      <c r="M38" s="563"/>
      <c r="N38" s="564"/>
    </row>
    <row r="39" spans="8:14" ht="19.5" customHeight="1" x14ac:dyDescent="0.2">
      <c r="K39" s="562"/>
      <c r="L39" s="563"/>
      <c r="M39" s="563"/>
      <c r="N39" s="564"/>
    </row>
    <row r="40" spans="8:14" ht="19.5" customHeight="1" x14ac:dyDescent="0.2">
      <c r="K40" s="565"/>
      <c r="L40" s="566"/>
      <c r="M40" s="566"/>
      <c r="N40" s="567"/>
    </row>
    <row r="41" spans="8:14" ht="19.5" customHeight="1" x14ac:dyDescent="0.2"/>
    <row r="42" spans="8:14" ht="19.5" customHeight="1" x14ac:dyDescent="0.2">
      <c r="H42" s="568" t="s">
        <v>169</v>
      </c>
      <c r="I42" s="569"/>
      <c r="J42" s="569"/>
    </row>
  </sheetData>
  <sheetProtection sheet="1" formatCells="0" formatColumns="0" formatRows="0" insertColumns="0" insertRows="0" insertHyperlinks="0" deleteColumns="0" deleteRows="0" pivotTables="0"/>
  <mergeCells count="34">
    <mergeCell ref="H42:J42"/>
    <mergeCell ref="B18:C18"/>
    <mergeCell ref="B25:C25"/>
    <mergeCell ref="B27:C27"/>
    <mergeCell ref="B30:E30"/>
    <mergeCell ref="K30:N30"/>
    <mergeCell ref="K32:N40"/>
    <mergeCell ref="B19:C19"/>
    <mergeCell ref="B21:C21"/>
    <mergeCell ref="B22:C22"/>
    <mergeCell ref="B23:C23"/>
    <mergeCell ref="B24:C24"/>
    <mergeCell ref="B20:C20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23">
    <cfRule type="cellIs" dxfId="36" priority="1" operator="lessThan">
      <formula>3</formula>
    </cfRule>
  </conditionalFormatting>
  <conditionalFormatting sqref="H13:H16">
    <cfRule type="cellIs" dxfId="35" priority="3" operator="less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A9A3-8D2A-49FA-BD80-53C722DE46CC}">
  <sheetPr>
    <tabColor theme="9" tint="-0.499984740745262"/>
    <pageSetUpPr fitToPage="1"/>
  </sheetPr>
  <dimension ref="A2:N46"/>
  <sheetViews>
    <sheetView showGridLines="0" topLeftCell="A11" zoomScale="95" zoomScaleNormal="95" workbookViewId="0">
      <selection activeCell="H14" sqref="H14"/>
    </sheetView>
  </sheetViews>
  <sheetFormatPr defaultColWidth="12.5703125" defaultRowHeight="15.75" customHeight="1" x14ac:dyDescent="0.2"/>
  <cols>
    <col min="1" max="1" width="8.42578125" customWidth="1"/>
    <col min="2" max="2" width="14.140625" customWidth="1"/>
    <col min="3" max="3" width="14.8554687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1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1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1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1:10" ht="22.5" customHeight="1" x14ac:dyDescent="0.2">
      <c r="B5" s="572" t="s">
        <v>210</v>
      </c>
      <c r="C5" s="574"/>
      <c r="D5" s="774" t="e">
        <f>#REF!</f>
        <v>#REF!</v>
      </c>
      <c r="E5" s="775"/>
      <c r="F5" s="687" t="s">
        <v>211</v>
      </c>
      <c r="G5" s="574"/>
      <c r="H5" s="745" t="s">
        <v>235</v>
      </c>
      <c r="I5" s="650"/>
      <c r="J5" s="612"/>
    </row>
    <row r="6" spans="1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1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1:10" ht="7.5" customHeight="1" x14ac:dyDescent="0.2"/>
    <row r="9" spans="1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1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1:10" ht="22.5" customHeight="1" x14ac:dyDescent="0.2">
      <c r="I11" s="11"/>
      <c r="J11" s="11"/>
    </row>
    <row r="12" spans="1:10" ht="22.5" customHeight="1" thickBot="1" x14ac:dyDescent="0.25">
      <c r="B12" s="14"/>
      <c r="C12" s="14"/>
      <c r="D12" s="105" t="s">
        <v>220</v>
      </c>
      <c r="E12" s="105" t="s">
        <v>221</v>
      </c>
      <c r="F12" s="105" t="s">
        <v>222</v>
      </c>
      <c r="G12" s="105" t="s">
        <v>223</v>
      </c>
      <c r="I12" s="11"/>
      <c r="J12" s="11"/>
    </row>
    <row r="13" spans="1:10" ht="26.25" customHeight="1" thickBot="1" x14ac:dyDescent="0.25">
      <c r="A13" s="781" t="s">
        <v>417</v>
      </c>
      <c r="B13" s="776" t="s">
        <v>418</v>
      </c>
      <c r="C13" s="776"/>
      <c r="D13" s="42">
        <v>27</v>
      </c>
      <c r="E13" s="42">
        <v>27</v>
      </c>
      <c r="F13" s="42">
        <v>27</v>
      </c>
      <c r="G13" s="412">
        <v>21</v>
      </c>
      <c r="H13" s="19"/>
      <c r="I13" s="11"/>
      <c r="J13" s="11"/>
    </row>
    <row r="14" spans="1:10" ht="22.5" customHeight="1" thickBot="1" x14ac:dyDescent="0.25">
      <c r="A14" s="782"/>
      <c r="B14" s="776" t="s">
        <v>419</v>
      </c>
      <c r="C14" s="776"/>
      <c r="D14" s="42">
        <v>11</v>
      </c>
      <c r="E14" s="42">
        <v>14</v>
      </c>
      <c r="F14" s="42">
        <v>13</v>
      </c>
      <c r="G14" s="413">
        <v>10</v>
      </c>
      <c r="H14" s="19"/>
      <c r="I14" s="11"/>
      <c r="J14" s="11"/>
    </row>
    <row r="15" spans="1:10" ht="76.5" customHeight="1" thickBot="1" x14ac:dyDescent="0.25">
      <c r="A15" s="782"/>
      <c r="B15" s="776" t="s">
        <v>420</v>
      </c>
      <c r="C15" s="776"/>
      <c r="D15" s="42">
        <v>38</v>
      </c>
      <c r="E15" s="42">
        <v>39</v>
      </c>
      <c r="F15" s="42">
        <v>39</v>
      </c>
      <c r="G15" s="413">
        <v>36</v>
      </c>
      <c r="H15" s="19"/>
      <c r="I15" s="11"/>
      <c r="J15" s="11"/>
    </row>
    <row r="16" spans="1:10" ht="22.5" customHeight="1" thickBot="1" x14ac:dyDescent="0.25">
      <c r="A16" s="782"/>
      <c r="B16" s="776" t="s">
        <v>421</v>
      </c>
      <c r="C16" s="776"/>
      <c r="D16" s="42">
        <v>1</v>
      </c>
      <c r="E16" s="42">
        <v>1</v>
      </c>
      <c r="F16" s="42">
        <v>1</v>
      </c>
      <c r="G16" s="536">
        <v>2</v>
      </c>
      <c r="H16" s="147"/>
      <c r="I16" s="11"/>
      <c r="J16" s="11"/>
    </row>
    <row r="17" spans="1:7" ht="22.5" customHeight="1" thickBot="1" x14ac:dyDescent="0.25">
      <c r="A17" s="782"/>
      <c r="B17" s="776" t="s">
        <v>422</v>
      </c>
      <c r="C17" s="776"/>
      <c r="D17" s="42">
        <v>26</v>
      </c>
      <c r="E17" s="42">
        <v>26</v>
      </c>
      <c r="F17" s="42">
        <v>27</v>
      </c>
      <c r="G17" s="413">
        <v>16</v>
      </c>
    </row>
    <row r="18" spans="1:7" ht="22.5" customHeight="1" thickBot="1" x14ac:dyDescent="0.25">
      <c r="A18" s="782"/>
      <c r="B18" s="776" t="s">
        <v>423</v>
      </c>
      <c r="C18" s="776"/>
      <c r="D18" s="42">
        <v>32</v>
      </c>
      <c r="E18" s="42">
        <v>34</v>
      </c>
      <c r="F18" s="42">
        <v>33</v>
      </c>
      <c r="G18" s="413">
        <v>42</v>
      </c>
    </row>
    <row r="19" spans="1:7" ht="22.5" customHeight="1" thickBot="1" x14ac:dyDescent="0.25">
      <c r="A19" s="783" t="s">
        <v>424</v>
      </c>
      <c r="B19" s="778" t="s">
        <v>425</v>
      </c>
      <c r="C19" s="778"/>
      <c r="D19" s="42">
        <v>1</v>
      </c>
      <c r="E19" s="42">
        <v>1</v>
      </c>
      <c r="F19" s="42">
        <v>3</v>
      </c>
      <c r="G19" s="413">
        <v>4</v>
      </c>
    </row>
    <row r="20" spans="1:7" ht="22.5" customHeight="1" thickBot="1" x14ac:dyDescent="0.25">
      <c r="A20" s="784"/>
      <c r="B20" s="778" t="s">
        <v>426</v>
      </c>
      <c r="C20" s="778"/>
      <c r="D20" s="42">
        <v>1</v>
      </c>
      <c r="E20" s="42">
        <v>1</v>
      </c>
      <c r="F20" s="42">
        <v>1</v>
      </c>
      <c r="G20" s="536">
        <v>1</v>
      </c>
    </row>
    <row r="21" spans="1:7" ht="22.5" customHeight="1" thickBot="1" x14ac:dyDescent="0.25">
      <c r="A21" s="784"/>
      <c r="B21" s="778" t="s">
        <v>427</v>
      </c>
      <c r="C21" s="778"/>
      <c r="D21" s="42">
        <v>6</v>
      </c>
      <c r="E21" s="42">
        <v>6</v>
      </c>
      <c r="F21" s="42">
        <v>11</v>
      </c>
      <c r="G21" s="413">
        <v>9</v>
      </c>
    </row>
    <row r="22" spans="1:7" ht="22.5" customHeight="1" thickBot="1" x14ac:dyDescent="0.25">
      <c r="A22" s="784"/>
      <c r="B22" s="778" t="s">
        <v>428</v>
      </c>
      <c r="C22" s="778"/>
      <c r="D22" s="42">
        <v>8</v>
      </c>
      <c r="E22" s="42">
        <v>8</v>
      </c>
      <c r="F22" s="42">
        <v>8</v>
      </c>
      <c r="G22" s="413">
        <v>6</v>
      </c>
    </row>
    <row r="23" spans="1:7" ht="22.5" customHeight="1" thickBot="1" x14ac:dyDescent="0.25">
      <c r="A23" s="784"/>
      <c r="B23" s="778" t="s">
        <v>429</v>
      </c>
      <c r="C23" s="778"/>
      <c r="D23" s="42">
        <v>19</v>
      </c>
      <c r="E23" s="42">
        <v>19</v>
      </c>
      <c r="F23" s="42">
        <v>17</v>
      </c>
      <c r="G23" s="413">
        <v>15</v>
      </c>
    </row>
    <row r="24" spans="1:7" ht="22.5" customHeight="1" thickBot="1" x14ac:dyDescent="0.25">
      <c r="A24" s="784"/>
      <c r="B24" s="778" t="s">
        <v>430</v>
      </c>
      <c r="C24" s="778"/>
      <c r="D24" s="42">
        <v>8</v>
      </c>
      <c r="E24" s="42">
        <v>8</v>
      </c>
      <c r="F24" s="42">
        <v>8</v>
      </c>
      <c r="G24" s="413">
        <v>9</v>
      </c>
    </row>
    <row r="25" spans="1:7" ht="22.5" customHeight="1" thickBot="1" x14ac:dyDescent="0.25">
      <c r="A25" s="784"/>
      <c r="B25" s="778" t="s">
        <v>431</v>
      </c>
      <c r="C25" s="778"/>
      <c r="D25" s="42">
        <v>21</v>
      </c>
      <c r="E25" s="42">
        <v>21</v>
      </c>
      <c r="F25" s="42">
        <v>23</v>
      </c>
      <c r="G25" s="413">
        <v>19</v>
      </c>
    </row>
    <row r="26" spans="1:7" ht="22.5" customHeight="1" thickBot="1" x14ac:dyDescent="0.25">
      <c r="A26" s="784"/>
      <c r="B26" s="778" t="s">
        <v>432</v>
      </c>
      <c r="C26" s="778"/>
      <c r="D26" s="42">
        <v>3</v>
      </c>
      <c r="E26" s="42">
        <v>3</v>
      </c>
      <c r="F26" s="42">
        <v>3</v>
      </c>
      <c r="G26" s="413">
        <v>3</v>
      </c>
    </row>
    <row r="27" spans="1:7" ht="22.5" customHeight="1" thickBot="1" x14ac:dyDescent="0.25">
      <c r="A27" s="780" t="s">
        <v>433</v>
      </c>
      <c r="B27" s="779" t="s">
        <v>434</v>
      </c>
      <c r="C27" s="779"/>
      <c r="D27" s="42">
        <v>81</v>
      </c>
      <c r="E27" s="42">
        <v>89</v>
      </c>
      <c r="F27" s="42">
        <v>90</v>
      </c>
      <c r="G27" s="413">
        <v>86</v>
      </c>
    </row>
    <row r="28" spans="1:7" ht="36.75" customHeight="1" thickBot="1" x14ac:dyDescent="0.25">
      <c r="A28" s="780"/>
      <c r="B28" s="779" t="s">
        <v>435</v>
      </c>
      <c r="C28" s="779"/>
      <c r="D28" s="42">
        <v>21</v>
      </c>
      <c r="E28" s="42">
        <v>21</v>
      </c>
      <c r="F28" s="42">
        <v>20</v>
      </c>
      <c r="G28" s="414">
        <v>17</v>
      </c>
    </row>
    <row r="29" spans="1:7" ht="36.75" customHeight="1" thickBot="1" x14ac:dyDescent="0.25">
      <c r="A29" s="325"/>
      <c r="B29" s="777" t="s">
        <v>436</v>
      </c>
      <c r="C29" s="777"/>
      <c r="D29" s="423">
        <f>SUM(D13:D28)</f>
        <v>304</v>
      </c>
      <c r="E29" s="423">
        <f>SUM(E13:E28)</f>
        <v>318</v>
      </c>
      <c r="F29" s="423">
        <f>SUM(F13:F28)</f>
        <v>324</v>
      </c>
      <c r="G29" s="424">
        <v>296</v>
      </c>
    </row>
    <row r="30" spans="1:7" ht="22.5" customHeight="1" x14ac:dyDescent="0.2">
      <c r="B30" s="640" t="s">
        <v>225</v>
      </c>
      <c r="C30" s="706"/>
      <c r="D30" s="59" t="e">
        <f>$D5</f>
        <v>#REF!</v>
      </c>
      <c r="E30" s="59" t="e">
        <f>$D5</f>
        <v>#REF!</v>
      </c>
      <c r="F30" s="59" t="e">
        <f>$D5</f>
        <v>#REF!</v>
      </c>
      <c r="G30" s="59" t="e">
        <f>$D5</f>
        <v>#REF!</v>
      </c>
    </row>
    <row r="31" spans="1:7" ht="22.5" customHeight="1" x14ac:dyDescent="0.2">
      <c r="B31" s="640" t="s">
        <v>226</v>
      </c>
      <c r="C31" s="706"/>
      <c r="D31" s="57">
        <f>D29/100</f>
        <v>3.04</v>
      </c>
      <c r="E31" s="57">
        <f t="shared" ref="E31:G31" si="0">E29/100</f>
        <v>3.18</v>
      </c>
      <c r="F31" s="57">
        <f t="shared" si="0"/>
        <v>3.24</v>
      </c>
      <c r="G31" s="57">
        <f t="shared" si="0"/>
        <v>2.96</v>
      </c>
    </row>
    <row r="33" spans="8:14" ht="22.5" customHeight="1" x14ac:dyDescent="0.2">
      <c r="H33" s="11"/>
      <c r="I33" s="11"/>
      <c r="J33" s="140" t="s">
        <v>228</v>
      </c>
      <c r="K33" s="142"/>
      <c r="L33" s="142"/>
      <c r="M33" s="141"/>
    </row>
    <row r="34" spans="8:14" ht="22.5" customHeight="1" x14ac:dyDescent="0.2">
      <c r="J34" s="7"/>
      <c r="K34" s="7"/>
      <c r="L34" s="7"/>
      <c r="M34" s="7"/>
    </row>
    <row r="35" spans="8:14" ht="22.5" customHeight="1" x14ac:dyDescent="0.2">
      <c r="K35" s="721" t="s">
        <v>437</v>
      </c>
      <c r="L35" s="722"/>
      <c r="M35" s="722"/>
      <c r="N35" s="723"/>
    </row>
    <row r="36" spans="8:14" ht="6" customHeight="1" x14ac:dyDescent="0.2">
      <c r="K36" s="724"/>
      <c r="L36" s="725"/>
      <c r="M36" s="725"/>
      <c r="N36" s="726"/>
    </row>
    <row r="37" spans="8:14" ht="19.5" customHeight="1" x14ac:dyDescent="0.2">
      <c r="K37" s="724"/>
      <c r="L37" s="725"/>
      <c r="M37" s="725"/>
      <c r="N37" s="726"/>
    </row>
    <row r="38" spans="8:14" ht="19.5" customHeight="1" x14ac:dyDescent="0.2">
      <c r="K38" s="724"/>
      <c r="L38" s="725"/>
      <c r="M38" s="725"/>
      <c r="N38" s="726"/>
    </row>
    <row r="39" spans="8:14" ht="19.5" customHeight="1" x14ac:dyDescent="0.2">
      <c r="K39" s="724"/>
      <c r="L39" s="725"/>
      <c r="M39" s="725"/>
      <c r="N39" s="726"/>
    </row>
    <row r="40" spans="8:14" ht="19.5" customHeight="1" x14ac:dyDescent="0.2">
      <c r="K40" s="724"/>
      <c r="L40" s="725"/>
      <c r="M40" s="725"/>
      <c r="N40" s="726"/>
    </row>
    <row r="41" spans="8:14" ht="19.5" customHeight="1" x14ac:dyDescent="0.2">
      <c r="K41" s="724"/>
      <c r="L41" s="725"/>
      <c r="M41" s="725"/>
      <c r="N41" s="726"/>
    </row>
    <row r="42" spans="8:14" ht="19.5" customHeight="1" x14ac:dyDescent="0.2">
      <c r="K42" s="724"/>
      <c r="L42" s="725"/>
      <c r="M42" s="725"/>
      <c r="N42" s="726"/>
    </row>
    <row r="43" spans="8:14" ht="19.5" customHeight="1" x14ac:dyDescent="0.2">
      <c r="K43" s="771"/>
      <c r="L43" s="772"/>
      <c r="M43" s="772"/>
      <c r="N43" s="773"/>
    </row>
    <row r="44" spans="8:14" ht="19.5" customHeight="1" x14ac:dyDescent="0.2"/>
    <row r="45" spans="8:14" ht="19.5" customHeight="1" x14ac:dyDescent="0.2"/>
    <row r="46" spans="8:14" ht="19.5" customHeight="1" x14ac:dyDescent="0.2">
      <c r="H46" s="568" t="s">
        <v>169</v>
      </c>
      <c r="I46" s="569"/>
      <c r="J46" s="569"/>
    </row>
  </sheetData>
  <sheetProtection sheet="1" formatCells="0" formatColumns="0" formatRows="0" insertColumns="0" insertRows="0" insertHyperlinks="0" deleteColumns="0" deleteRows="0" pivotTables="0"/>
  <mergeCells count="40">
    <mergeCell ref="A27:A28"/>
    <mergeCell ref="B28:C28"/>
    <mergeCell ref="B30:C30"/>
    <mergeCell ref="B31:C31"/>
    <mergeCell ref="A13:A18"/>
    <mergeCell ref="B19:C19"/>
    <mergeCell ref="B20:C20"/>
    <mergeCell ref="B21:C21"/>
    <mergeCell ref="B22:C22"/>
    <mergeCell ref="A19:A26"/>
    <mergeCell ref="H46:J46"/>
    <mergeCell ref="B7:C7"/>
    <mergeCell ref="D7:J7"/>
    <mergeCell ref="B13:C13"/>
    <mergeCell ref="B14:C14"/>
    <mergeCell ref="B15:C15"/>
    <mergeCell ref="B16:C16"/>
    <mergeCell ref="B17:C17"/>
    <mergeCell ref="B18:C18"/>
    <mergeCell ref="B29:C29"/>
    <mergeCell ref="B23:C23"/>
    <mergeCell ref="B24:C24"/>
    <mergeCell ref="B25:C25"/>
    <mergeCell ref="B26:C26"/>
    <mergeCell ref="B27:C27"/>
    <mergeCell ref="K35:N43"/>
    <mergeCell ref="B2:D2"/>
    <mergeCell ref="E2:J2"/>
    <mergeCell ref="B4:C4"/>
    <mergeCell ref="D4:E4"/>
    <mergeCell ref="F4:G4"/>
    <mergeCell ref="H4:J4"/>
    <mergeCell ref="B5:C5"/>
    <mergeCell ref="F5:G5"/>
    <mergeCell ref="H5:J5"/>
    <mergeCell ref="B6:C6"/>
    <mergeCell ref="D6:E6"/>
    <mergeCell ref="F6:G6"/>
    <mergeCell ref="D5:E5"/>
    <mergeCell ref="B9:J9"/>
  </mergeCells>
  <conditionalFormatting sqref="D13:F28">
    <cfRule type="cellIs" dxfId="34" priority="1" operator="lessThan">
      <formula>1</formula>
    </cfRule>
  </conditionalFormatting>
  <conditionalFormatting sqref="D29:F29">
    <cfRule type="cellIs" dxfId="33" priority="2" operator="lessThan">
      <formula>100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1E7F-EA6B-41BE-8E26-F4A14A478556}">
  <sheetPr>
    <tabColor theme="9" tint="-0.499984740745262"/>
    <pageSetUpPr fitToPage="1"/>
  </sheetPr>
  <dimension ref="A2:N40"/>
  <sheetViews>
    <sheetView showGridLines="0" topLeftCell="A67" workbookViewId="0">
      <selection activeCell="G75" sqref="G75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9"/>
      <c r="D2" s="659"/>
      <c r="E2" s="660" t="s">
        <v>207</v>
      </c>
      <c r="F2" s="660"/>
      <c r="G2" s="660"/>
      <c r="H2" s="660"/>
      <c r="I2" s="660"/>
      <c r="J2" s="660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2"/>
      <c r="D4" s="649" t="e">
        <f>#REF!</f>
        <v>#REF!</v>
      </c>
      <c r="E4" s="649"/>
      <c r="F4" s="572" t="s">
        <v>209</v>
      </c>
      <c r="G4" s="572"/>
      <c r="H4" s="649" t="e">
        <f>#REF!</f>
        <v>#REF!</v>
      </c>
      <c r="I4" s="649"/>
      <c r="J4" s="649"/>
    </row>
    <row r="5" spans="2:10" ht="22.5" customHeight="1" x14ac:dyDescent="0.2">
      <c r="B5" s="572" t="s">
        <v>317</v>
      </c>
      <c r="C5" s="572"/>
      <c r="D5" s="649" t="e">
        <f>#REF!</f>
        <v>#REF!</v>
      </c>
      <c r="E5" s="649"/>
      <c r="F5" s="687" t="s">
        <v>211</v>
      </c>
      <c r="G5" s="687"/>
      <c r="H5" s="745" t="s">
        <v>235</v>
      </c>
      <c r="I5" s="745"/>
      <c r="J5" s="745"/>
    </row>
    <row r="6" spans="2:10" ht="22.5" customHeight="1" x14ac:dyDescent="0.2">
      <c r="B6" s="572" t="s">
        <v>213</v>
      </c>
      <c r="C6" s="572"/>
      <c r="D6" s="649" t="s">
        <v>214</v>
      </c>
      <c r="E6" s="649"/>
      <c r="F6" s="572" t="s">
        <v>236</v>
      </c>
      <c r="G6" s="572"/>
      <c r="H6" s="10" t="e">
        <f>#REF!</f>
        <v>#REF!</v>
      </c>
      <c r="J6" s="110"/>
    </row>
    <row r="7" spans="2:10" ht="22.5" customHeight="1" x14ac:dyDescent="0.2">
      <c r="B7" s="572" t="s">
        <v>216</v>
      </c>
      <c r="C7" s="572"/>
      <c r="D7" s="649" t="e">
        <f>#REF!</f>
        <v>#REF!</v>
      </c>
      <c r="E7" s="649"/>
      <c r="F7" s="649"/>
      <c r="G7" s="649"/>
      <c r="H7" s="649"/>
      <c r="I7" s="649"/>
      <c r="J7" s="649"/>
    </row>
    <row r="8" spans="2:10" ht="7.5" customHeight="1" x14ac:dyDescent="0.2"/>
    <row r="9" spans="2:10" ht="22.5" customHeight="1" x14ac:dyDescent="0.2">
      <c r="B9" s="572" t="s">
        <v>217</v>
      </c>
      <c r="C9" s="572"/>
      <c r="D9" s="572"/>
      <c r="E9" s="572"/>
      <c r="F9" s="572"/>
      <c r="G9" s="572"/>
      <c r="H9" s="572"/>
      <c r="I9" s="572"/>
      <c r="J9" s="572"/>
    </row>
    <row r="10" spans="2:10" ht="22.5" customHeight="1" x14ac:dyDescent="0.2"/>
    <row r="11" spans="2:10" ht="22.5" customHeight="1" x14ac:dyDescent="0.2">
      <c r="B11" s="786"/>
      <c r="C11" s="786"/>
      <c r="D11" s="89" t="s">
        <v>218</v>
      </c>
      <c r="E11" s="89" t="s">
        <v>219</v>
      </c>
      <c r="F11" s="89" t="s">
        <v>220</v>
      </c>
      <c r="G11" s="89" t="s">
        <v>221</v>
      </c>
      <c r="H11" s="89" t="s">
        <v>222</v>
      </c>
      <c r="I11" s="89" t="s">
        <v>223</v>
      </c>
    </row>
    <row r="12" spans="2:10" ht="22.5" customHeight="1" x14ac:dyDescent="0.2">
      <c r="B12" s="597" t="s">
        <v>238</v>
      </c>
      <c r="C12" s="597"/>
      <c r="D12" s="42">
        <v>2.9</v>
      </c>
      <c r="E12" s="42" t="s">
        <v>231</v>
      </c>
      <c r="F12" s="42">
        <v>4.33</v>
      </c>
      <c r="G12" s="42">
        <v>2.75</v>
      </c>
      <c r="H12" s="42">
        <v>3.93</v>
      </c>
      <c r="I12" s="42" t="s">
        <v>254</v>
      </c>
    </row>
    <row r="13" spans="2:10" ht="22.5" customHeight="1" x14ac:dyDescent="0.2">
      <c r="B13" s="597" t="s">
        <v>239</v>
      </c>
      <c r="C13" s="597"/>
      <c r="D13" s="42" t="s">
        <v>231</v>
      </c>
      <c r="E13" s="42" t="s">
        <v>231</v>
      </c>
      <c r="F13" s="42">
        <v>3.8</v>
      </c>
      <c r="G13" s="42">
        <v>3</v>
      </c>
      <c r="H13" s="42">
        <v>4.2</v>
      </c>
      <c r="I13" s="42" t="s">
        <v>254</v>
      </c>
    </row>
    <row r="14" spans="2:10" ht="22.5" customHeight="1" x14ac:dyDescent="0.2">
      <c r="B14" s="597" t="s">
        <v>240</v>
      </c>
      <c r="C14" s="597"/>
      <c r="D14" s="42" t="s">
        <v>231</v>
      </c>
      <c r="E14" s="109">
        <v>2.5</v>
      </c>
      <c r="F14" s="42">
        <v>3.17</v>
      </c>
      <c r="G14" s="42">
        <v>1</v>
      </c>
      <c r="H14" s="42">
        <v>3.8</v>
      </c>
      <c r="I14" s="42" t="s">
        <v>254</v>
      </c>
    </row>
    <row r="15" spans="2:10" ht="22.5" customHeight="1" x14ac:dyDescent="0.2">
      <c r="B15" s="597" t="s">
        <v>241</v>
      </c>
      <c r="C15" s="597"/>
      <c r="D15" s="109">
        <v>2.33</v>
      </c>
      <c r="E15" s="109">
        <v>3.27</v>
      </c>
      <c r="F15" s="42">
        <v>3.45</v>
      </c>
      <c r="G15" s="42">
        <v>3.33</v>
      </c>
      <c r="H15" s="42">
        <v>3.25</v>
      </c>
      <c r="I15" s="42" t="s">
        <v>254</v>
      </c>
    </row>
    <row r="16" spans="2:10" ht="22.5" customHeight="1" x14ac:dyDescent="0.2">
      <c r="B16" s="597" t="s">
        <v>242</v>
      </c>
      <c r="C16" s="597"/>
      <c r="D16" s="42" t="s">
        <v>231</v>
      </c>
      <c r="E16" s="42" t="s">
        <v>231</v>
      </c>
      <c r="F16" s="54" t="s">
        <v>231</v>
      </c>
      <c r="G16" s="42">
        <v>3</v>
      </c>
      <c r="H16" s="42">
        <v>5</v>
      </c>
      <c r="I16" s="42" t="s">
        <v>254</v>
      </c>
    </row>
    <row r="17" spans="1:14" ht="22.5" customHeight="1" x14ac:dyDescent="0.2">
      <c r="B17" s="597" t="s">
        <v>243</v>
      </c>
      <c r="C17" s="597"/>
      <c r="D17" s="109">
        <v>2.83</v>
      </c>
      <c r="E17" s="109">
        <v>2</v>
      </c>
      <c r="F17" s="54" t="s">
        <v>231</v>
      </c>
      <c r="G17" s="42">
        <v>2.33</v>
      </c>
      <c r="H17" s="42">
        <v>3.83</v>
      </c>
      <c r="I17" s="42" t="s">
        <v>254</v>
      </c>
      <c r="K17" s="19"/>
      <c r="L17" s="19"/>
      <c r="M17" s="19"/>
    </row>
    <row r="18" spans="1:14" ht="22.5" customHeight="1" x14ac:dyDescent="0.2">
      <c r="B18" s="597" t="s">
        <v>244</v>
      </c>
      <c r="C18" s="597"/>
      <c r="D18" s="109">
        <v>3.6</v>
      </c>
      <c r="E18" s="42" t="s">
        <v>231</v>
      </c>
      <c r="F18" s="54" t="s">
        <v>231</v>
      </c>
      <c r="G18" s="54" t="s">
        <v>231</v>
      </c>
      <c r="H18" s="42">
        <v>3.67</v>
      </c>
      <c r="I18" s="42" t="s">
        <v>254</v>
      </c>
      <c r="K18" s="19"/>
      <c r="L18" s="19"/>
      <c r="M18" s="19"/>
    </row>
    <row r="19" spans="1:14" ht="22.5" customHeight="1" x14ac:dyDescent="0.3">
      <c r="A19" s="33" t="s">
        <v>169</v>
      </c>
      <c r="B19" s="619" t="s">
        <v>245</v>
      </c>
      <c r="C19" s="624"/>
      <c r="D19" s="96" t="s">
        <v>231</v>
      </c>
      <c r="E19" s="42" t="s">
        <v>231</v>
      </c>
      <c r="F19" s="54" t="s">
        <v>231</v>
      </c>
      <c r="G19" s="54" t="s">
        <v>231</v>
      </c>
      <c r="H19" s="42">
        <v>4</v>
      </c>
      <c r="I19" s="42" t="s">
        <v>254</v>
      </c>
      <c r="K19" s="19"/>
      <c r="L19" s="19"/>
      <c r="M19" s="19"/>
    </row>
    <row r="20" spans="1:14" ht="22.5" customHeight="1" x14ac:dyDescent="0.2">
      <c r="B20" s="597" t="s">
        <v>246</v>
      </c>
      <c r="C20" s="597"/>
      <c r="D20" s="109">
        <v>3.22</v>
      </c>
      <c r="E20" s="109">
        <v>3.2</v>
      </c>
      <c r="F20" s="42">
        <v>2.91</v>
      </c>
      <c r="G20" s="42">
        <v>2.5</v>
      </c>
      <c r="H20" s="42">
        <v>3.31</v>
      </c>
      <c r="I20" s="42" t="s">
        <v>254</v>
      </c>
      <c r="K20" s="19"/>
      <c r="L20" s="19"/>
      <c r="M20" s="19"/>
    </row>
    <row r="21" spans="1:14" ht="22.5" customHeight="1" x14ac:dyDescent="0.2">
      <c r="B21" s="597" t="s">
        <v>247</v>
      </c>
      <c r="C21" s="597"/>
      <c r="D21" s="109">
        <v>3.5</v>
      </c>
      <c r="E21" s="109">
        <v>2.33</v>
      </c>
      <c r="F21" s="42">
        <v>3.85</v>
      </c>
      <c r="G21" s="42">
        <v>2.5</v>
      </c>
      <c r="H21" s="42">
        <v>3.57</v>
      </c>
      <c r="I21" s="42" t="s">
        <v>254</v>
      </c>
      <c r="K21" s="68" t="s">
        <v>228</v>
      </c>
      <c r="L21" s="142"/>
      <c r="M21" s="142"/>
      <c r="N21" s="141"/>
    </row>
    <row r="22" spans="1:14" ht="22.5" customHeight="1" x14ac:dyDescent="0.2">
      <c r="B22" s="597" t="s">
        <v>248</v>
      </c>
      <c r="C22" s="597"/>
      <c r="D22" s="109">
        <v>3.19</v>
      </c>
      <c r="E22" s="109">
        <v>2.67</v>
      </c>
      <c r="F22" s="42">
        <v>1.92</v>
      </c>
      <c r="G22" s="42">
        <v>3.33</v>
      </c>
      <c r="H22" s="42">
        <v>3.45</v>
      </c>
      <c r="I22" s="42" t="s">
        <v>254</v>
      </c>
      <c r="K22" s="7"/>
      <c r="L22" s="7"/>
      <c r="M22" s="7"/>
      <c r="N22" s="7"/>
    </row>
    <row r="23" spans="1:14" ht="22.5" customHeight="1" x14ac:dyDescent="0.25">
      <c r="B23" s="785" t="e">
        <f>D5</f>
        <v>#REF!</v>
      </c>
      <c r="C23" s="785"/>
      <c r="D23" s="51">
        <f>COUNTIF(D12:D22,"&gt;=3")</f>
        <v>4</v>
      </c>
      <c r="E23" s="51">
        <f t="shared" ref="E23:H23" si="0">COUNTIF(E12:E22,"&gt;=3")</f>
        <v>2</v>
      </c>
      <c r="F23" s="51">
        <f t="shared" si="0"/>
        <v>5</v>
      </c>
      <c r="G23" s="51">
        <f t="shared" si="0"/>
        <v>4</v>
      </c>
      <c r="H23" s="51">
        <f t="shared" si="0"/>
        <v>11</v>
      </c>
      <c r="I23" s="51">
        <f t="shared" ref="I23" si="1">COUNTIF(I12:I22,"&gt;=3")</f>
        <v>0</v>
      </c>
      <c r="K23" s="721" t="s">
        <v>438</v>
      </c>
      <c r="L23" s="722"/>
      <c r="M23" s="722"/>
      <c r="N23" s="723"/>
    </row>
    <row r="24" spans="1:14" ht="22.5" customHeight="1" x14ac:dyDescent="0.25">
      <c r="B24" s="702" t="s">
        <v>268</v>
      </c>
      <c r="C24" s="702"/>
      <c r="D24" s="51">
        <f t="shared" ref="D24:I24" si="2">COUNT( D12:D22)</f>
        <v>7</v>
      </c>
      <c r="E24" s="51">
        <f t="shared" si="2"/>
        <v>6</v>
      </c>
      <c r="F24" s="51">
        <f t="shared" si="2"/>
        <v>7</v>
      </c>
      <c r="G24" s="51">
        <f t="shared" si="2"/>
        <v>9</v>
      </c>
      <c r="H24" s="51">
        <f t="shared" si="2"/>
        <v>11</v>
      </c>
      <c r="I24" s="51">
        <f t="shared" si="2"/>
        <v>0</v>
      </c>
      <c r="K24" s="724"/>
      <c r="L24" s="725"/>
      <c r="M24" s="725"/>
      <c r="N24" s="726"/>
    </row>
    <row r="25" spans="1:14" ht="22.5" customHeight="1" x14ac:dyDescent="0.2">
      <c r="B25" s="43" t="s">
        <v>225</v>
      </c>
      <c r="C25" s="10">
        <v>3</v>
      </c>
      <c r="D25" s="326">
        <v>3</v>
      </c>
      <c r="E25" s="326">
        <v>3</v>
      </c>
      <c r="F25" s="326">
        <v>3</v>
      </c>
      <c r="G25" s="326">
        <v>3</v>
      </c>
      <c r="H25" s="326">
        <v>3</v>
      </c>
      <c r="I25" s="326">
        <v>3</v>
      </c>
      <c r="K25" s="724"/>
      <c r="L25" s="725"/>
      <c r="M25" s="725"/>
      <c r="N25" s="726"/>
    </row>
    <row r="26" spans="1:14" ht="22.5" customHeight="1" x14ac:dyDescent="0.2">
      <c r="B26" s="640" t="s">
        <v>226</v>
      </c>
      <c r="C26" s="706"/>
      <c r="D26" s="57">
        <f t="shared" ref="D26:I26" si="3">D23/D24</f>
        <v>0.5714285714285714</v>
      </c>
      <c r="E26" s="57">
        <f t="shared" si="3"/>
        <v>0.33333333333333331</v>
      </c>
      <c r="F26" s="57">
        <f t="shared" si="3"/>
        <v>0.7142857142857143</v>
      </c>
      <c r="G26" s="57">
        <f t="shared" si="3"/>
        <v>0.44444444444444442</v>
      </c>
      <c r="H26" s="57">
        <f t="shared" si="3"/>
        <v>1</v>
      </c>
      <c r="I26" s="57" t="e">
        <f t="shared" si="3"/>
        <v>#DIV/0!</v>
      </c>
      <c r="K26" s="724"/>
      <c r="L26" s="725"/>
      <c r="M26" s="725"/>
      <c r="N26" s="726"/>
    </row>
    <row r="27" spans="1:14" ht="22.5" customHeight="1" x14ac:dyDescent="0.25">
      <c r="B27" s="5"/>
      <c r="C27" s="5"/>
      <c r="D27" s="4"/>
      <c r="E27" s="4"/>
      <c r="F27" s="4"/>
      <c r="G27" s="4"/>
      <c r="H27" s="4"/>
      <c r="I27" s="4"/>
      <c r="K27" s="724"/>
      <c r="L27" s="725"/>
      <c r="M27" s="725"/>
      <c r="N27" s="726"/>
    </row>
    <row r="28" spans="1:14" ht="22.5" customHeight="1" x14ac:dyDescent="0.2">
      <c r="B28" s="572" t="s">
        <v>227</v>
      </c>
      <c r="C28" s="573"/>
      <c r="D28" s="573"/>
      <c r="E28" s="574"/>
      <c r="F28" s="6"/>
      <c r="K28" s="724"/>
      <c r="L28" s="725"/>
      <c r="M28" s="725"/>
      <c r="N28" s="726"/>
    </row>
    <row r="29" spans="1:14" ht="22.5" customHeight="1" x14ac:dyDescent="0.2">
      <c r="B29" s="6"/>
      <c r="C29" s="6"/>
      <c r="D29" s="6"/>
      <c r="E29" s="6"/>
      <c r="F29" s="6"/>
      <c r="K29" s="724"/>
      <c r="L29" s="725"/>
      <c r="M29" s="725"/>
      <c r="N29" s="726"/>
    </row>
    <row r="30" spans="1:14" ht="6" customHeight="1" x14ac:dyDescent="0.2">
      <c r="B30" s="6"/>
      <c r="C30" s="6"/>
      <c r="D30" s="6"/>
      <c r="E30" s="6"/>
      <c r="F30" s="6"/>
      <c r="K30" s="724"/>
      <c r="L30" s="725"/>
      <c r="M30" s="725"/>
      <c r="N30" s="726"/>
    </row>
    <row r="31" spans="1:14" ht="19.5" customHeight="1" x14ac:dyDescent="0.2">
      <c r="B31" s="6"/>
      <c r="C31" s="6"/>
      <c r="D31" s="6"/>
      <c r="E31" s="6"/>
      <c r="F31" s="6"/>
      <c r="K31" s="771"/>
      <c r="L31" s="772"/>
      <c r="M31" s="772"/>
      <c r="N31" s="773"/>
    </row>
    <row r="40" spans="8:10" ht="19.5" customHeight="1" x14ac:dyDescent="0.2">
      <c r="H40" s="568" t="s">
        <v>169</v>
      </c>
      <c r="I40" s="569"/>
      <c r="J40" s="569"/>
    </row>
  </sheetData>
  <sheetProtection sheet="1" formatCells="0" formatColumns="0" formatRows="0" insertColumns="0" insertRows="0" insertHyperlinks="0" deleteColumns="0" deleteRows="0" pivotTables="0"/>
  <mergeCells count="34"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  <mergeCell ref="K23:N31"/>
    <mergeCell ref="D7:J7"/>
    <mergeCell ref="B9:J9"/>
    <mergeCell ref="B12:C12"/>
    <mergeCell ref="B13:C13"/>
    <mergeCell ref="B11:C11"/>
    <mergeCell ref="B7:C7"/>
    <mergeCell ref="B16:C16"/>
    <mergeCell ref="B14:C14"/>
    <mergeCell ref="B15:C15"/>
    <mergeCell ref="B17:C17"/>
    <mergeCell ref="B18:C18"/>
    <mergeCell ref="B20:C20"/>
    <mergeCell ref="B21:C21"/>
    <mergeCell ref="B22:C22"/>
    <mergeCell ref="B19:C19"/>
    <mergeCell ref="H40:J40"/>
    <mergeCell ref="B28:E28"/>
    <mergeCell ref="B23:C23"/>
    <mergeCell ref="B24:C24"/>
    <mergeCell ref="B26:C26"/>
  </mergeCells>
  <conditionalFormatting sqref="D12:I22">
    <cfRule type="cellIs" dxfId="32" priority="1" operator="between">
      <formula>0</formula>
      <formula>2.7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6CDD-F9B3-4BB2-9AFB-63C127409F8E}">
  <sheetPr>
    <tabColor theme="9" tint="-0.499984740745262"/>
    <pageSetUpPr fitToPage="1"/>
  </sheetPr>
  <dimension ref="A2:M63"/>
  <sheetViews>
    <sheetView showGridLines="0" zoomScale="95" zoomScaleNormal="95" workbookViewId="0">
      <selection activeCell="G5" sqref="G5:I5"/>
    </sheetView>
  </sheetViews>
  <sheetFormatPr defaultColWidth="12.5703125" defaultRowHeight="15.75" customHeight="1" x14ac:dyDescent="0.2"/>
  <cols>
    <col min="1" max="1" width="14.140625" customWidth="1"/>
    <col min="2" max="2" width="14.85546875" customWidth="1"/>
    <col min="3" max="3" width="17.28515625" bestFit="1" customWidth="1"/>
    <col min="4" max="8" width="12.5703125" customWidth="1"/>
    <col min="9" max="9" width="36.28515625" customWidth="1"/>
    <col min="10" max="10" width="8.85546875" customWidth="1"/>
    <col min="11" max="20" width="7.5703125" customWidth="1"/>
  </cols>
  <sheetData>
    <row r="2" spans="1:12" ht="55.5" customHeight="1" x14ac:dyDescent="0.2">
      <c r="A2" s="659"/>
      <c r="B2" s="650"/>
      <c r="C2" s="658"/>
      <c r="D2" s="660" t="s">
        <v>207</v>
      </c>
      <c r="E2" s="650"/>
      <c r="F2" s="650"/>
      <c r="G2" s="650"/>
      <c r="H2" s="650"/>
      <c r="I2" s="658"/>
      <c r="J2" s="1"/>
    </row>
    <row r="3" spans="1:12" ht="22.5" customHeight="1" x14ac:dyDescent="0.2">
      <c r="A3" s="44"/>
      <c r="B3" s="44"/>
      <c r="C3" s="45"/>
      <c r="D3" s="45"/>
      <c r="E3" s="45"/>
      <c r="F3" s="45"/>
      <c r="G3" s="45"/>
      <c r="H3" s="45"/>
    </row>
    <row r="4" spans="1:12" ht="42" customHeight="1" x14ac:dyDescent="0.2">
      <c r="A4" s="572" t="s">
        <v>208</v>
      </c>
      <c r="B4" s="574"/>
      <c r="C4" s="649" t="e">
        <f>#REF!</f>
        <v>#REF!</v>
      </c>
      <c r="D4" s="658"/>
      <c r="E4" s="572" t="s">
        <v>209</v>
      </c>
      <c r="F4" s="574"/>
      <c r="G4" s="649" t="e">
        <f>#REF!</f>
        <v>#REF!</v>
      </c>
      <c r="H4" s="650"/>
      <c r="I4" s="658"/>
    </row>
    <row r="5" spans="1:12" ht="22.5" customHeight="1" x14ac:dyDescent="0.2">
      <c r="A5" s="572" t="s">
        <v>210</v>
      </c>
      <c r="B5" s="574"/>
      <c r="C5" s="792" t="e">
        <f>#REF!</f>
        <v>#REF!</v>
      </c>
      <c r="D5" s="775"/>
      <c r="E5" s="687" t="s">
        <v>211</v>
      </c>
      <c r="F5" s="574"/>
      <c r="G5" s="745" t="s">
        <v>235</v>
      </c>
      <c r="H5" s="650"/>
      <c r="I5" s="612"/>
    </row>
    <row r="6" spans="1:12" ht="22.5" customHeight="1" x14ac:dyDescent="0.2">
      <c r="A6" s="572" t="s">
        <v>213</v>
      </c>
      <c r="B6" s="574"/>
      <c r="C6" s="649" t="s">
        <v>214</v>
      </c>
      <c r="D6" s="658"/>
      <c r="E6" s="572" t="s">
        <v>236</v>
      </c>
      <c r="F6" s="574"/>
      <c r="G6" s="10" t="e">
        <f>#REF!</f>
        <v>#REF!</v>
      </c>
      <c r="I6" s="103"/>
    </row>
    <row r="7" spans="1:12" ht="22.5" customHeight="1" x14ac:dyDescent="0.2">
      <c r="A7" s="572" t="s">
        <v>216</v>
      </c>
      <c r="B7" s="574"/>
      <c r="C7" s="649" t="e">
        <f>#REF!</f>
        <v>#REF!</v>
      </c>
      <c r="D7" s="650"/>
      <c r="E7" s="650"/>
      <c r="F7" s="650"/>
      <c r="G7" s="650"/>
      <c r="H7" s="650"/>
      <c r="I7" s="658"/>
    </row>
    <row r="8" spans="1:12" ht="7.5" customHeight="1" x14ac:dyDescent="0.2"/>
    <row r="9" spans="1:12" ht="22.5" customHeight="1" x14ac:dyDescent="0.2">
      <c r="A9" s="572" t="s">
        <v>217</v>
      </c>
      <c r="B9" s="573"/>
      <c r="C9" s="573"/>
      <c r="D9" s="573"/>
      <c r="E9" s="573"/>
      <c r="F9" s="573"/>
      <c r="G9" s="573"/>
      <c r="H9" s="573"/>
      <c r="I9" s="574"/>
    </row>
    <row r="10" spans="1:12" ht="22.5" customHeight="1" thickBot="1" x14ac:dyDescent="0.25">
      <c r="A10" s="12"/>
      <c r="B10" s="11"/>
      <c r="C10" s="11"/>
      <c r="D10" s="11"/>
      <c r="E10" s="11"/>
      <c r="F10" s="11"/>
      <c r="G10" s="11"/>
      <c r="H10" s="11"/>
      <c r="I10" s="11"/>
    </row>
    <row r="11" spans="1:12" ht="22.5" customHeight="1" thickBot="1" x14ac:dyDescent="0.25">
      <c r="A11" s="425" t="s">
        <v>439</v>
      </c>
      <c r="B11" s="787" t="s">
        <v>220</v>
      </c>
      <c r="C11" s="788"/>
      <c r="D11" s="787" t="s">
        <v>221</v>
      </c>
      <c r="E11" s="788"/>
      <c r="F11" s="787" t="s">
        <v>222</v>
      </c>
      <c r="G11" s="788"/>
      <c r="H11" s="787" t="s">
        <v>223</v>
      </c>
      <c r="I11" s="788"/>
    </row>
    <row r="12" spans="1:12" ht="22.5" customHeight="1" thickBot="1" x14ac:dyDescent="0.25">
      <c r="A12" s="426" t="s">
        <v>440</v>
      </c>
      <c r="B12" s="427">
        <v>5</v>
      </c>
      <c r="C12" s="428">
        <v>0.25252525300000001</v>
      </c>
      <c r="D12" s="427">
        <v>5</v>
      </c>
      <c r="E12" s="428">
        <v>0.24096386</v>
      </c>
      <c r="F12" s="427">
        <v>6</v>
      </c>
      <c r="G12" s="428">
        <v>0.28971511</v>
      </c>
      <c r="H12" s="427">
        <v>4</v>
      </c>
      <c r="I12" s="428">
        <v>0.19305019300000001</v>
      </c>
    </row>
    <row r="13" spans="1:12" ht="22.5" customHeight="1" thickBot="1" x14ac:dyDescent="0.25">
      <c r="A13" s="426" t="s">
        <v>441</v>
      </c>
      <c r="B13" s="427">
        <v>8</v>
      </c>
      <c r="C13" s="428">
        <v>0.40404040400000002</v>
      </c>
      <c r="D13" s="427">
        <v>8</v>
      </c>
      <c r="E13" s="428">
        <v>0.38554217000000002</v>
      </c>
      <c r="F13" s="427">
        <v>6</v>
      </c>
      <c r="G13" s="428">
        <v>0.28971511</v>
      </c>
      <c r="H13" s="427">
        <v>3</v>
      </c>
      <c r="I13" s="428">
        <v>0.14478764499999999</v>
      </c>
    </row>
    <row r="14" spans="1:12" ht="22.5" customHeight="1" thickBot="1" x14ac:dyDescent="0.25">
      <c r="A14" s="426" t="s">
        <v>442</v>
      </c>
      <c r="B14" s="427">
        <v>0</v>
      </c>
      <c r="C14" s="428">
        <v>0</v>
      </c>
      <c r="D14" s="427">
        <v>0</v>
      </c>
      <c r="E14" s="428">
        <v>0</v>
      </c>
      <c r="F14" s="427">
        <v>1</v>
      </c>
      <c r="G14" s="428">
        <v>4.8285849999999998E-2</v>
      </c>
      <c r="H14" s="427">
        <v>0</v>
      </c>
      <c r="I14" s="428">
        <v>0</v>
      </c>
    </row>
    <row r="15" spans="1:12" ht="22.5" customHeight="1" thickBot="1" x14ac:dyDescent="0.25">
      <c r="A15" s="426" t="s">
        <v>443</v>
      </c>
      <c r="B15" s="427">
        <v>1</v>
      </c>
      <c r="C15" s="428">
        <v>5.0505051000000002E-2</v>
      </c>
      <c r="D15" s="427">
        <v>1</v>
      </c>
      <c r="E15" s="428">
        <v>4.8192770000000003E-2</v>
      </c>
      <c r="F15" s="427">
        <v>0</v>
      </c>
      <c r="G15" s="428">
        <v>0</v>
      </c>
      <c r="H15" s="427">
        <v>0</v>
      </c>
      <c r="I15" s="428">
        <v>0</v>
      </c>
      <c r="J15" s="142"/>
      <c r="K15" s="142"/>
      <c r="L15" s="141"/>
    </row>
    <row r="16" spans="1:12" ht="22.5" customHeight="1" thickBot="1" x14ac:dyDescent="0.25">
      <c r="A16" s="426" t="s">
        <v>444</v>
      </c>
      <c r="B16" s="427">
        <v>5</v>
      </c>
      <c r="C16" s="428">
        <v>0.25252525300000001</v>
      </c>
      <c r="D16" s="427">
        <v>7</v>
      </c>
      <c r="E16" s="428">
        <v>0.33734940000000002</v>
      </c>
      <c r="F16" s="427">
        <v>9</v>
      </c>
      <c r="G16" s="428">
        <v>0.43457266999999999</v>
      </c>
      <c r="H16" s="427">
        <v>9</v>
      </c>
      <c r="I16" s="428">
        <v>0.43436293399999998</v>
      </c>
      <c r="J16" s="7"/>
      <c r="K16" s="7"/>
      <c r="L16" s="7"/>
    </row>
    <row r="17" spans="1:13" ht="22.5" customHeight="1" thickBot="1" x14ac:dyDescent="0.25">
      <c r="A17" s="426" t="s">
        <v>445</v>
      </c>
      <c r="B17" s="427">
        <v>3</v>
      </c>
      <c r="C17" s="428">
        <v>0.15151515199999999</v>
      </c>
      <c r="D17" s="427">
        <v>1</v>
      </c>
      <c r="E17" s="428">
        <v>4.8192770000000003E-2</v>
      </c>
      <c r="F17" s="427">
        <v>1</v>
      </c>
      <c r="G17" s="428">
        <v>4.8285849999999998E-2</v>
      </c>
      <c r="H17" s="427">
        <v>2</v>
      </c>
      <c r="I17" s="428">
        <v>9.6525097000000004E-2</v>
      </c>
      <c r="J17" s="721" t="s">
        <v>437</v>
      </c>
      <c r="K17" s="722"/>
      <c r="L17" s="722"/>
      <c r="M17" s="723"/>
    </row>
    <row r="18" spans="1:13" ht="15.75" customHeight="1" thickBot="1" x14ac:dyDescent="0.25">
      <c r="A18" s="426" t="s">
        <v>446</v>
      </c>
      <c r="B18" s="427">
        <v>2</v>
      </c>
      <c r="C18" s="428">
        <v>0.101010101</v>
      </c>
      <c r="D18" s="427">
        <v>2</v>
      </c>
      <c r="E18" s="428">
        <v>9.6385540000000006E-2</v>
      </c>
      <c r="F18" s="427">
        <v>3</v>
      </c>
      <c r="G18" s="428">
        <v>0.14485756</v>
      </c>
      <c r="H18" s="427">
        <v>2</v>
      </c>
      <c r="I18" s="428">
        <v>9.6525097000000004E-2</v>
      </c>
      <c r="J18" s="724"/>
      <c r="K18" s="725"/>
      <c r="L18" s="725"/>
      <c r="M18" s="726"/>
    </row>
    <row r="19" spans="1:13" ht="19.5" customHeight="1" thickBot="1" x14ac:dyDescent="0.25">
      <c r="A19" s="426" t="s">
        <v>447</v>
      </c>
      <c r="B19" s="427">
        <v>1</v>
      </c>
      <c r="C19" s="428">
        <v>5.0505051000000002E-2</v>
      </c>
      <c r="D19" s="427">
        <v>0</v>
      </c>
      <c r="E19" s="428">
        <v>0</v>
      </c>
      <c r="F19" s="427">
        <v>0</v>
      </c>
      <c r="G19" s="428">
        <v>0</v>
      </c>
      <c r="H19" s="427">
        <v>0</v>
      </c>
      <c r="I19" s="428">
        <v>0</v>
      </c>
      <c r="J19" s="724"/>
      <c r="K19" s="725"/>
      <c r="L19" s="725"/>
      <c r="M19" s="726"/>
    </row>
    <row r="20" spans="1:13" ht="19.5" customHeight="1" thickBot="1" x14ac:dyDescent="0.25">
      <c r="A20" s="426" t="s">
        <v>448</v>
      </c>
      <c r="B20" s="427">
        <v>2</v>
      </c>
      <c r="C20" s="428">
        <v>0.101010101</v>
      </c>
      <c r="D20" s="427">
        <v>2</v>
      </c>
      <c r="E20" s="428">
        <v>9.6385540000000006E-2</v>
      </c>
      <c r="F20" s="427">
        <v>2</v>
      </c>
      <c r="G20" s="428">
        <v>9.6571699999999996E-2</v>
      </c>
      <c r="H20" s="427">
        <v>2</v>
      </c>
      <c r="I20" s="428">
        <v>9.6525097000000004E-2</v>
      </c>
      <c r="J20" s="724"/>
      <c r="K20" s="725"/>
      <c r="L20" s="725"/>
      <c r="M20" s="726"/>
    </row>
    <row r="21" spans="1:13" ht="19.5" customHeight="1" thickBot="1" x14ac:dyDescent="0.25">
      <c r="A21" s="426" t="s">
        <v>449</v>
      </c>
      <c r="B21" s="427">
        <v>16</v>
      </c>
      <c r="C21" s="428">
        <v>0.80808080800000004</v>
      </c>
      <c r="D21" s="427">
        <v>21</v>
      </c>
      <c r="E21" s="428">
        <v>1.01204819</v>
      </c>
      <c r="F21" s="427">
        <v>22</v>
      </c>
      <c r="G21" s="428">
        <v>1.06228875</v>
      </c>
      <c r="H21" s="427">
        <v>28</v>
      </c>
      <c r="I21" s="428">
        <v>1.3513513509999999</v>
      </c>
      <c r="J21" s="724"/>
      <c r="K21" s="725"/>
      <c r="L21" s="725"/>
      <c r="M21" s="726"/>
    </row>
    <row r="22" spans="1:13" ht="19.5" customHeight="1" thickBot="1" x14ac:dyDescent="0.25">
      <c r="A22" s="426" t="s">
        <v>450</v>
      </c>
      <c r="B22" s="427">
        <v>9</v>
      </c>
      <c r="C22" s="428">
        <v>0.45454545499999999</v>
      </c>
      <c r="D22" s="427">
        <v>8</v>
      </c>
      <c r="E22" s="428">
        <v>0.38554217000000002</v>
      </c>
      <c r="F22" s="427">
        <v>7</v>
      </c>
      <c r="G22" s="428">
        <v>0.33800097000000001</v>
      </c>
      <c r="H22" s="427">
        <v>9</v>
      </c>
      <c r="I22" s="428">
        <v>0.43436293399999998</v>
      </c>
      <c r="J22" s="724"/>
      <c r="K22" s="725"/>
      <c r="L22" s="725"/>
      <c r="M22" s="726"/>
    </row>
    <row r="23" spans="1:13" ht="19.5" customHeight="1" thickBot="1" x14ac:dyDescent="0.25">
      <c r="A23" s="426" t="s">
        <v>451</v>
      </c>
      <c r="B23" s="427">
        <v>2</v>
      </c>
      <c r="C23" s="428">
        <v>0.101010101</v>
      </c>
      <c r="D23" s="427">
        <v>2</v>
      </c>
      <c r="E23" s="428">
        <v>9.6385540000000006E-2</v>
      </c>
      <c r="F23" s="427">
        <v>2</v>
      </c>
      <c r="G23" s="428">
        <v>9.6571699999999996E-2</v>
      </c>
      <c r="H23" s="427">
        <v>4</v>
      </c>
      <c r="I23" s="428">
        <v>0.19305019300000001</v>
      </c>
      <c r="J23" s="724"/>
      <c r="K23" s="725"/>
      <c r="L23" s="725"/>
      <c r="M23" s="726"/>
    </row>
    <row r="24" spans="1:13" ht="19.5" customHeight="1" thickBot="1" x14ac:dyDescent="0.25">
      <c r="A24" s="426" t="s">
        <v>452</v>
      </c>
      <c r="B24" s="427">
        <v>0</v>
      </c>
      <c r="C24" s="428">
        <v>0</v>
      </c>
      <c r="D24" s="427">
        <v>0</v>
      </c>
      <c r="E24" s="428">
        <v>0</v>
      </c>
      <c r="F24" s="427">
        <v>2</v>
      </c>
      <c r="G24" s="428">
        <v>9.6571699999999996E-2</v>
      </c>
      <c r="H24" s="427">
        <v>1</v>
      </c>
      <c r="I24" s="428">
        <v>4.8262548000000002E-2</v>
      </c>
      <c r="J24" s="724"/>
      <c r="K24" s="725"/>
      <c r="L24" s="725"/>
      <c r="M24" s="726"/>
    </row>
    <row r="25" spans="1:13" ht="19.5" customHeight="1" thickBot="1" x14ac:dyDescent="0.25">
      <c r="A25" s="426" t="s">
        <v>453</v>
      </c>
      <c r="B25" s="427">
        <v>7</v>
      </c>
      <c r="C25" s="428">
        <v>0.35353535400000002</v>
      </c>
      <c r="D25" s="427">
        <v>9</v>
      </c>
      <c r="E25" s="428">
        <v>0.43373494000000001</v>
      </c>
      <c r="F25" s="427">
        <v>5</v>
      </c>
      <c r="G25" s="428">
        <v>0.24142926000000001</v>
      </c>
      <c r="H25" s="427">
        <v>4</v>
      </c>
      <c r="I25" s="428">
        <v>0.19305019300000001</v>
      </c>
      <c r="J25" s="771"/>
      <c r="K25" s="772"/>
      <c r="L25" s="772"/>
      <c r="M25" s="773"/>
    </row>
    <row r="26" spans="1:13" ht="19.5" customHeight="1" thickBot="1" x14ac:dyDescent="0.25">
      <c r="A26" s="426" t="s">
        <v>454</v>
      </c>
      <c r="B26" s="427">
        <v>0</v>
      </c>
      <c r="C26" s="428">
        <v>0</v>
      </c>
      <c r="D26" s="427">
        <v>0</v>
      </c>
      <c r="E26" s="428">
        <v>0</v>
      </c>
      <c r="F26" s="427">
        <v>0</v>
      </c>
      <c r="G26" s="428">
        <v>0</v>
      </c>
      <c r="H26" s="427">
        <v>1</v>
      </c>
      <c r="I26" s="428">
        <v>4.8262548000000002E-2</v>
      </c>
    </row>
    <row r="27" spans="1:13" ht="19.5" customHeight="1" thickBot="1" x14ac:dyDescent="0.25">
      <c r="A27" s="426" t="s">
        <v>455</v>
      </c>
      <c r="B27" s="427">
        <v>0</v>
      </c>
      <c r="C27" s="428">
        <v>0</v>
      </c>
      <c r="D27" s="427">
        <v>1</v>
      </c>
      <c r="E27" s="428">
        <v>4.8192770000000003E-2</v>
      </c>
      <c r="F27" s="427">
        <v>1</v>
      </c>
      <c r="G27" s="428">
        <v>4.8285849999999998E-2</v>
      </c>
      <c r="H27" s="427">
        <v>2</v>
      </c>
      <c r="I27" s="428">
        <v>9.6525097000000004E-2</v>
      </c>
    </row>
    <row r="28" spans="1:13" ht="19.5" customHeight="1" thickBot="1" x14ac:dyDescent="0.25">
      <c r="A28" s="426" t="s">
        <v>456</v>
      </c>
      <c r="B28" s="427">
        <v>0</v>
      </c>
      <c r="C28" s="428">
        <v>0</v>
      </c>
      <c r="D28" s="427">
        <v>2</v>
      </c>
      <c r="E28" s="428">
        <v>9.6385540000000006E-2</v>
      </c>
      <c r="F28" s="427">
        <v>2</v>
      </c>
      <c r="G28" s="428">
        <v>9.6571699999999996E-2</v>
      </c>
      <c r="H28" s="427">
        <v>2</v>
      </c>
      <c r="I28" s="428">
        <v>9.6525097000000004E-2</v>
      </c>
    </row>
    <row r="29" spans="1:13" ht="19.5" customHeight="1" thickBot="1" x14ac:dyDescent="0.25">
      <c r="A29" s="426" t="s">
        <v>457</v>
      </c>
      <c r="B29" s="427">
        <v>3</v>
      </c>
      <c r="C29" s="428">
        <v>0.15151515199999999</v>
      </c>
      <c r="D29" s="427">
        <v>3</v>
      </c>
      <c r="E29" s="428">
        <v>0.14457830999999999</v>
      </c>
      <c r="F29" s="427">
        <v>4</v>
      </c>
      <c r="G29" s="428">
        <v>0.19314340999999999</v>
      </c>
      <c r="H29" s="427">
        <v>6</v>
      </c>
      <c r="I29" s="428">
        <v>0.28957528999999999</v>
      </c>
    </row>
    <row r="30" spans="1:13" ht="19.5" customHeight="1" thickBot="1" x14ac:dyDescent="0.25">
      <c r="A30" s="426" t="s">
        <v>458</v>
      </c>
      <c r="B30" s="427">
        <v>0</v>
      </c>
      <c r="C30" s="428">
        <v>0</v>
      </c>
      <c r="D30" s="427">
        <v>1</v>
      </c>
      <c r="E30" s="428">
        <v>4.8192770000000003E-2</v>
      </c>
      <c r="F30" s="427">
        <v>0</v>
      </c>
      <c r="G30" s="428">
        <v>0</v>
      </c>
      <c r="H30" s="427">
        <v>0</v>
      </c>
      <c r="I30" s="428">
        <v>0</v>
      </c>
    </row>
    <row r="31" spans="1:13" ht="19.5" customHeight="1" thickBot="1" x14ac:dyDescent="0.25">
      <c r="A31" s="426" t="s">
        <v>459</v>
      </c>
      <c r="B31" s="427">
        <v>0</v>
      </c>
      <c r="C31" s="428">
        <v>0</v>
      </c>
      <c r="D31" s="427">
        <v>1</v>
      </c>
      <c r="E31" s="428">
        <v>4.8192770000000003E-2</v>
      </c>
      <c r="F31" s="427">
        <v>1</v>
      </c>
      <c r="G31" s="428">
        <v>4.8285849999999998E-2</v>
      </c>
      <c r="H31" s="427">
        <v>0</v>
      </c>
      <c r="I31" s="428">
        <v>0</v>
      </c>
    </row>
    <row r="32" spans="1:13" ht="19.5" customHeight="1" thickBot="1" x14ac:dyDescent="0.25">
      <c r="A32" s="426" t="s">
        <v>460</v>
      </c>
      <c r="B32" s="427">
        <v>4</v>
      </c>
      <c r="C32" s="428">
        <v>0.20202020200000001</v>
      </c>
      <c r="D32" s="427">
        <v>3</v>
      </c>
      <c r="E32" s="428">
        <v>0.14457830999999999</v>
      </c>
      <c r="F32" s="427">
        <v>6</v>
      </c>
      <c r="G32" s="428">
        <v>0.28971511</v>
      </c>
      <c r="H32" s="427">
        <v>8</v>
      </c>
      <c r="I32" s="428">
        <v>0.38610038600000002</v>
      </c>
    </row>
    <row r="33" spans="1:9" ht="19.5" customHeight="1" thickBot="1" x14ac:dyDescent="0.25">
      <c r="A33" s="426" t="s">
        <v>461</v>
      </c>
      <c r="B33" s="427">
        <v>0</v>
      </c>
      <c r="C33" s="428">
        <v>0</v>
      </c>
      <c r="D33" s="427">
        <v>1</v>
      </c>
      <c r="E33" s="428">
        <v>4.8192770000000003E-2</v>
      </c>
      <c r="F33" s="427">
        <v>0</v>
      </c>
      <c r="G33" s="428">
        <v>0</v>
      </c>
      <c r="H33" s="427">
        <v>0</v>
      </c>
      <c r="I33" s="428">
        <v>0</v>
      </c>
    </row>
    <row r="34" spans="1:9" ht="19.5" customHeight="1" thickBot="1" x14ac:dyDescent="0.25">
      <c r="A34" s="426" t="s">
        <v>462</v>
      </c>
      <c r="B34" s="427">
        <v>2</v>
      </c>
      <c r="C34" s="428">
        <v>0.101010101</v>
      </c>
      <c r="D34" s="427">
        <v>1</v>
      </c>
      <c r="E34" s="428">
        <v>4.8192770000000003E-2</v>
      </c>
      <c r="F34" s="427">
        <v>2</v>
      </c>
      <c r="G34" s="428">
        <v>9.6571699999999996E-2</v>
      </c>
      <c r="H34" s="427">
        <v>5</v>
      </c>
      <c r="I34" s="428">
        <v>0.241312741</v>
      </c>
    </row>
    <row r="35" spans="1:9" ht="19.5" customHeight="1" thickBot="1" x14ac:dyDescent="0.25">
      <c r="A35" s="426" t="s">
        <v>463</v>
      </c>
      <c r="B35" s="427">
        <v>1</v>
      </c>
      <c r="C35" s="428">
        <v>5.0505051000000002E-2</v>
      </c>
      <c r="D35" s="427">
        <v>0</v>
      </c>
      <c r="E35" s="428">
        <v>0</v>
      </c>
      <c r="F35" s="427">
        <v>0</v>
      </c>
      <c r="G35" s="428">
        <v>0</v>
      </c>
      <c r="H35" s="427">
        <v>1</v>
      </c>
      <c r="I35" s="428">
        <v>4.8262548000000002E-2</v>
      </c>
    </row>
    <row r="36" spans="1:9" ht="19.5" customHeight="1" thickBot="1" x14ac:dyDescent="0.25">
      <c r="A36" s="426" t="s">
        <v>464</v>
      </c>
      <c r="B36" s="427">
        <v>0</v>
      </c>
      <c r="C36" s="428">
        <v>0</v>
      </c>
      <c r="D36" s="427">
        <v>0</v>
      </c>
      <c r="E36" s="428">
        <v>0</v>
      </c>
      <c r="F36" s="427">
        <v>0</v>
      </c>
      <c r="G36" s="428">
        <v>0</v>
      </c>
      <c r="H36" s="427">
        <v>1</v>
      </c>
      <c r="I36" s="428">
        <v>4.8262548000000002E-2</v>
      </c>
    </row>
    <row r="37" spans="1:9" ht="19.5" customHeight="1" thickBot="1" x14ac:dyDescent="0.25">
      <c r="A37" s="426" t="s">
        <v>465</v>
      </c>
      <c r="B37" s="427">
        <v>4</v>
      </c>
      <c r="C37" s="428">
        <v>0.20202020200000001</v>
      </c>
      <c r="D37" s="427">
        <v>4</v>
      </c>
      <c r="E37" s="428">
        <v>0.19277108000000001</v>
      </c>
      <c r="F37" s="427">
        <v>3</v>
      </c>
      <c r="G37" s="428">
        <v>0.14485756</v>
      </c>
      <c r="H37" s="427">
        <v>3</v>
      </c>
      <c r="I37" s="428">
        <v>0.14478764499999999</v>
      </c>
    </row>
    <row r="38" spans="1:9" ht="19.5" customHeight="1" thickBot="1" x14ac:dyDescent="0.25">
      <c r="A38" s="426" t="s">
        <v>466</v>
      </c>
      <c r="B38" s="427">
        <v>2</v>
      </c>
      <c r="C38" s="428">
        <v>0.101010101</v>
      </c>
      <c r="D38" s="427">
        <v>3</v>
      </c>
      <c r="E38" s="428">
        <v>0.14457830999999999</v>
      </c>
      <c r="F38" s="427">
        <v>3</v>
      </c>
      <c r="G38" s="428">
        <v>0.14485756</v>
      </c>
      <c r="H38" s="427">
        <v>4</v>
      </c>
      <c r="I38" s="428">
        <v>0.19305019300000001</v>
      </c>
    </row>
    <row r="39" spans="1:9" ht="19.5" customHeight="1" thickBot="1" x14ac:dyDescent="0.25">
      <c r="A39" s="426" t="s">
        <v>467</v>
      </c>
      <c r="B39" s="427">
        <v>1</v>
      </c>
      <c r="C39" s="428">
        <v>5.0505051000000002E-2</v>
      </c>
      <c r="D39" s="427">
        <v>0</v>
      </c>
      <c r="E39" s="428">
        <v>0</v>
      </c>
      <c r="F39" s="427">
        <v>0</v>
      </c>
      <c r="G39" s="428">
        <v>0</v>
      </c>
      <c r="H39" s="427">
        <v>0</v>
      </c>
      <c r="I39" s="428">
        <v>0</v>
      </c>
    </row>
    <row r="40" spans="1:9" ht="19.5" customHeight="1" thickBot="1" x14ac:dyDescent="0.25">
      <c r="A40" s="426" t="s">
        <v>468</v>
      </c>
      <c r="B40" s="427">
        <v>8</v>
      </c>
      <c r="C40" s="428">
        <v>0.40404040400000002</v>
      </c>
      <c r="D40" s="427">
        <v>6</v>
      </c>
      <c r="E40" s="428">
        <v>0.28915663000000003</v>
      </c>
      <c r="F40" s="427">
        <v>7</v>
      </c>
      <c r="G40" s="428">
        <v>0.33800097000000001</v>
      </c>
      <c r="H40" s="427">
        <v>7</v>
      </c>
      <c r="I40" s="428">
        <v>0.337837838</v>
      </c>
    </row>
    <row r="41" spans="1:9" ht="19.5" customHeight="1" thickBot="1" x14ac:dyDescent="0.25">
      <c r="A41" s="426" t="s">
        <v>469</v>
      </c>
      <c r="B41" s="427">
        <v>2</v>
      </c>
      <c r="C41" s="428">
        <v>0.101010101</v>
      </c>
      <c r="D41" s="427">
        <v>1</v>
      </c>
      <c r="E41" s="428">
        <v>4.8192770000000003E-2</v>
      </c>
      <c r="F41" s="427">
        <v>1</v>
      </c>
      <c r="G41" s="428">
        <v>4.8285849999999998E-2</v>
      </c>
      <c r="H41" s="427">
        <v>1</v>
      </c>
      <c r="I41" s="428">
        <v>4.8262548000000002E-2</v>
      </c>
    </row>
    <row r="42" spans="1:9" ht="19.5" customHeight="1" thickBot="1" x14ac:dyDescent="0.25">
      <c r="A42" s="426" t="s">
        <v>470</v>
      </c>
      <c r="B42" s="427">
        <v>0</v>
      </c>
      <c r="C42" s="428">
        <v>0</v>
      </c>
      <c r="D42" s="427">
        <v>1</v>
      </c>
      <c r="E42" s="428">
        <v>4.8192770000000003E-2</v>
      </c>
      <c r="F42" s="427">
        <v>1</v>
      </c>
      <c r="G42" s="428">
        <v>4.8285849999999998E-2</v>
      </c>
      <c r="H42" s="427">
        <v>2</v>
      </c>
      <c r="I42" s="428">
        <v>9.6525097000000004E-2</v>
      </c>
    </row>
    <row r="43" spans="1:9" ht="19.5" customHeight="1" thickBot="1" x14ac:dyDescent="0.25">
      <c r="A43" s="426" t="s">
        <v>471</v>
      </c>
      <c r="B43" s="427">
        <v>0</v>
      </c>
      <c r="C43" s="428">
        <v>0</v>
      </c>
      <c r="D43" s="427">
        <v>0</v>
      </c>
      <c r="E43" s="428">
        <v>0</v>
      </c>
      <c r="F43" s="427">
        <v>0</v>
      </c>
      <c r="G43" s="428">
        <v>0</v>
      </c>
      <c r="H43" s="427">
        <v>1</v>
      </c>
      <c r="I43" s="428">
        <v>4.8262548000000002E-2</v>
      </c>
    </row>
    <row r="44" spans="1:9" ht="19.5" customHeight="1" thickBot="1" x14ac:dyDescent="0.25">
      <c r="A44" s="426" t="s">
        <v>472</v>
      </c>
      <c r="B44" s="427">
        <v>3</v>
      </c>
      <c r="C44" s="428">
        <v>0.15151515199999999</v>
      </c>
      <c r="D44" s="427">
        <v>2</v>
      </c>
      <c r="E44" s="428">
        <v>9.6385540000000006E-2</v>
      </c>
      <c r="F44" s="427">
        <v>2</v>
      </c>
      <c r="G44" s="428">
        <v>9.6571699999999996E-2</v>
      </c>
      <c r="H44" s="427">
        <v>1</v>
      </c>
      <c r="I44" s="428">
        <v>4.8262548000000002E-2</v>
      </c>
    </row>
    <row r="45" spans="1:9" ht="19.5" customHeight="1" thickBot="1" x14ac:dyDescent="0.25">
      <c r="A45" s="426" t="s">
        <v>473</v>
      </c>
      <c r="B45" s="427">
        <v>3</v>
      </c>
      <c r="C45" s="428">
        <v>0.15151515199999999</v>
      </c>
      <c r="D45" s="427">
        <v>5</v>
      </c>
      <c r="E45" s="428">
        <v>0.24096386</v>
      </c>
      <c r="F45" s="427">
        <v>3</v>
      </c>
      <c r="G45" s="428">
        <v>0.14485756</v>
      </c>
      <c r="H45" s="427">
        <v>4</v>
      </c>
      <c r="I45" s="428">
        <v>0.19305019300000001</v>
      </c>
    </row>
    <row r="46" spans="1:9" ht="19.5" customHeight="1" thickBot="1" x14ac:dyDescent="0.25">
      <c r="A46" s="426" t="s">
        <v>474</v>
      </c>
      <c r="B46" s="427">
        <v>11</v>
      </c>
      <c r="C46" s="428">
        <v>0.55555555599999995</v>
      </c>
      <c r="D46" s="427">
        <v>11</v>
      </c>
      <c r="E46" s="428">
        <v>0.53012048000000001</v>
      </c>
      <c r="F46" s="427">
        <v>9</v>
      </c>
      <c r="G46" s="428">
        <v>0.43457266999999999</v>
      </c>
      <c r="H46" s="427">
        <v>10</v>
      </c>
      <c r="I46" s="428">
        <v>0.48262548300000002</v>
      </c>
    </row>
    <row r="47" spans="1:9" ht="19.5" customHeight="1" thickBot="1" x14ac:dyDescent="0.25">
      <c r="A47" s="426" t="s">
        <v>475</v>
      </c>
      <c r="B47" s="427">
        <v>1</v>
      </c>
      <c r="C47" s="428">
        <v>5.0505051000000002E-2</v>
      </c>
      <c r="D47" s="427">
        <v>2</v>
      </c>
      <c r="E47" s="428">
        <v>9.6385540000000006E-2</v>
      </c>
      <c r="F47" s="427">
        <v>1</v>
      </c>
      <c r="G47" s="428">
        <v>4.8285849999999998E-2</v>
      </c>
      <c r="H47" s="427">
        <v>1</v>
      </c>
      <c r="I47" s="428">
        <v>4.8262548000000002E-2</v>
      </c>
    </row>
    <row r="48" spans="1:9" ht="19.5" customHeight="1" thickBot="1" x14ac:dyDescent="0.25">
      <c r="A48" s="426" t="s">
        <v>476</v>
      </c>
      <c r="B48" s="427">
        <v>5</v>
      </c>
      <c r="C48" s="428">
        <v>0.25252525300000001</v>
      </c>
      <c r="D48" s="427">
        <v>6</v>
      </c>
      <c r="E48" s="428">
        <v>0.28915663000000003</v>
      </c>
      <c r="F48" s="427">
        <v>4</v>
      </c>
      <c r="G48" s="428">
        <v>0.19314340999999999</v>
      </c>
      <c r="H48" s="427">
        <v>2</v>
      </c>
      <c r="I48" s="428">
        <v>9.6525097000000004E-2</v>
      </c>
    </row>
    <row r="49" spans="1:9" ht="19.5" customHeight="1" thickBot="1" x14ac:dyDescent="0.25">
      <c r="A49" s="426" t="s">
        <v>477</v>
      </c>
      <c r="B49" s="427">
        <v>2</v>
      </c>
      <c r="C49" s="428">
        <v>0.101010101</v>
      </c>
      <c r="D49" s="427">
        <v>1</v>
      </c>
      <c r="E49" s="428">
        <v>4.8192770000000003E-2</v>
      </c>
      <c r="F49" s="427">
        <v>1</v>
      </c>
      <c r="G49" s="428">
        <v>4.8285849999999998E-2</v>
      </c>
      <c r="H49" s="427">
        <v>4</v>
      </c>
      <c r="I49" s="428">
        <v>0.19305019300000001</v>
      </c>
    </row>
    <row r="50" spans="1:9" ht="19.5" customHeight="1" thickBot="1" x14ac:dyDescent="0.25">
      <c r="A50" s="426" t="s">
        <v>478</v>
      </c>
      <c r="B50" s="427">
        <v>1</v>
      </c>
      <c r="C50" s="428">
        <v>5.0505051000000002E-2</v>
      </c>
      <c r="D50" s="427">
        <v>1</v>
      </c>
      <c r="E50" s="428">
        <v>4.8192770000000003E-2</v>
      </c>
      <c r="F50" s="427">
        <v>1</v>
      </c>
      <c r="G50" s="428">
        <v>4.8285849999999998E-2</v>
      </c>
      <c r="H50" s="427">
        <v>0</v>
      </c>
      <c r="I50" s="428">
        <v>0</v>
      </c>
    </row>
    <row r="51" spans="1:9" ht="19.5" customHeight="1" thickBot="1" x14ac:dyDescent="0.25">
      <c r="A51" s="426" t="s">
        <v>479</v>
      </c>
      <c r="B51" s="427">
        <v>1</v>
      </c>
      <c r="C51" s="428">
        <v>5.0505051000000002E-2</v>
      </c>
      <c r="D51" s="427">
        <v>1</v>
      </c>
      <c r="E51" s="428">
        <v>4.8192770000000003E-2</v>
      </c>
      <c r="F51" s="427">
        <v>1</v>
      </c>
      <c r="G51" s="428">
        <v>4.8285849999999998E-2</v>
      </c>
      <c r="H51" s="427">
        <v>1</v>
      </c>
      <c r="I51" s="428">
        <v>4.8262548000000002E-2</v>
      </c>
    </row>
    <row r="52" spans="1:9" ht="19.5" customHeight="1" thickBot="1" x14ac:dyDescent="0.25">
      <c r="A52" s="426" t="s">
        <v>480</v>
      </c>
      <c r="B52" s="427">
        <v>1845</v>
      </c>
      <c r="C52" s="429">
        <v>93.181818179999993</v>
      </c>
      <c r="D52" s="430">
        <v>1928</v>
      </c>
      <c r="E52" s="429">
        <v>92.915662699999999</v>
      </c>
      <c r="F52" s="430">
        <v>1927</v>
      </c>
      <c r="G52" s="429">
        <v>93.046837300000007</v>
      </c>
      <c r="H52" s="430">
        <v>1913</v>
      </c>
      <c r="I52" s="429">
        <v>92.326254829999996</v>
      </c>
    </row>
    <row r="53" spans="1:9" ht="19.5" customHeight="1" thickBot="1" x14ac:dyDescent="0.25">
      <c r="A53" s="426" t="s">
        <v>481</v>
      </c>
      <c r="B53" s="427">
        <v>1</v>
      </c>
      <c r="C53" s="428">
        <v>5.0505051000000002E-2</v>
      </c>
      <c r="D53" s="427">
        <v>1</v>
      </c>
      <c r="E53" s="428">
        <v>4.8192770000000003E-2</v>
      </c>
      <c r="F53" s="427">
        <v>0</v>
      </c>
      <c r="G53" s="428">
        <v>0</v>
      </c>
      <c r="H53" s="427">
        <v>0</v>
      </c>
      <c r="I53" s="428">
        <v>0</v>
      </c>
    </row>
    <row r="54" spans="1:9" ht="19.5" customHeight="1" thickBot="1" x14ac:dyDescent="0.25">
      <c r="A54" s="426" t="s">
        <v>482</v>
      </c>
      <c r="B54" s="427">
        <v>1</v>
      </c>
      <c r="C54" s="428">
        <v>5.0505051000000002E-2</v>
      </c>
      <c r="D54" s="427">
        <v>1</v>
      </c>
      <c r="E54" s="428">
        <v>4.8192770000000003E-2</v>
      </c>
      <c r="F54" s="427">
        <v>1</v>
      </c>
      <c r="G54" s="428">
        <v>4.8285849999999998E-2</v>
      </c>
      <c r="H54" s="427">
        <v>0</v>
      </c>
      <c r="I54" s="428">
        <v>0</v>
      </c>
    </row>
    <row r="55" spans="1:9" ht="19.5" customHeight="1" thickBot="1" x14ac:dyDescent="0.25">
      <c r="A55" s="426" t="s">
        <v>483</v>
      </c>
      <c r="B55" s="427">
        <v>1</v>
      </c>
      <c r="C55" s="428">
        <v>5.0505051000000002E-2</v>
      </c>
      <c r="D55" s="427">
        <v>1</v>
      </c>
      <c r="E55" s="428">
        <v>4.8192770000000003E-2</v>
      </c>
      <c r="F55" s="427">
        <v>1</v>
      </c>
      <c r="G55" s="428">
        <v>4.8285849999999998E-2</v>
      </c>
      <c r="H55" s="427">
        <v>1</v>
      </c>
      <c r="I55" s="428">
        <v>4.8262548000000002E-2</v>
      </c>
    </row>
    <row r="56" spans="1:9" ht="19.5" customHeight="1" thickBot="1" x14ac:dyDescent="0.25">
      <c r="A56" s="426" t="s">
        <v>484</v>
      </c>
      <c r="B56" s="427">
        <v>2</v>
      </c>
      <c r="C56" s="428">
        <v>0.101010101</v>
      </c>
      <c r="D56" s="427">
        <v>3</v>
      </c>
      <c r="E56" s="428">
        <v>0.14457830999999999</v>
      </c>
      <c r="F56" s="427">
        <v>2</v>
      </c>
      <c r="G56" s="428">
        <v>9.6571699999999996E-2</v>
      </c>
      <c r="H56" s="427">
        <v>2</v>
      </c>
      <c r="I56" s="428">
        <v>9.6525097000000004E-2</v>
      </c>
    </row>
    <row r="57" spans="1:9" ht="19.5" customHeight="1" thickBot="1" x14ac:dyDescent="0.25">
      <c r="A57" s="426" t="s">
        <v>485</v>
      </c>
      <c r="B57" s="427">
        <v>3</v>
      </c>
      <c r="C57" s="428">
        <v>0.15151515199999999</v>
      </c>
      <c r="D57" s="427">
        <v>5</v>
      </c>
      <c r="E57" s="428">
        <v>0.24096386</v>
      </c>
      <c r="F57" s="427">
        <v>4</v>
      </c>
      <c r="G57" s="428">
        <v>0.19314340999999999</v>
      </c>
      <c r="H57" s="427">
        <v>5</v>
      </c>
      <c r="I57" s="428">
        <v>0.241312741</v>
      </c>
    </row>
    <row r="58" spans="1:9" ht="19.5" customHeight="1" thickBot="1" x14ac:dyDescent="0.25">
      <c r="A58" s="426" t="s">
        <v>486</v>
      </c>
      <c r="B58" s="427">
        <v>7</v>
      </c>
      <c r="C58" s="428">
        <v>0.35353535400000002</v>
      </c>
      <c r="D58" s="427">
        <v>8</v>
      </c>
      <c r="E58" s="428">
        <v>0.38554217000000002</v>
      </c>
      <c r="F58" s="427">
        <v>8</v>
      </c>
      <c r="G58" s="428">
        <v>0.38628681999999998</v>
      </c>
      <c r="H58" s="427">
        <v>5</v>
      </c>
      <c r="I58" s="428">
        <v>0.241312741</v>
      </c>
    </row>
    <row r="59" spans="1:9" ht="19.5" customHeight="1" thickBot="1" x14ac:dyDescent="0.25">
      <c r="A59" s="426" t="s">
        <v>487</v>
      </c>
      <c r="B59" s="427">
        <v>5</v>
      </c>
      <c r="C59" s="428">
        <v>0.25252525300000001</v>
      </c>
      <c r="D59" s="427">
        <v>5</v>
      </c>
      <c r="E59" s="428">
        <v>0.24096386</v>
      </c>
      <c r="F59" s="427">
        <v>9</v>
      </c>
      <c r="G59" s="428">
        <v>0.43457266999999999</v>
      </c>
      <c r="H59" s="427">
        <v>11</v>
      </c>
      <c r="I59" s="428">
        <v>0.53088803100000004</v>
      </c>
    </row>
    <row r="60" spans="1:9" ht="19.5" customHeight="1" thickBot="1" x14ac:dyDescent="0.25">
      <c r="A60" s="431" t="s">
        <v>488</v>
      </c>
      <c r="B60" s="427">
        <v>1980</v>
      </c>
      <c r="C60" s="427" t="s">
        <v>169</v>
      </c>
      <c r="D60" s="427">
        <v>2075</v>
      </c>
      <c r="E60" s="428" t="s">
        <v>169</v>
      </c>
      <c r="F60" s="427">
        <v>2071</v>
      </c>
      <c r="G60" s="428" t="s">
        <v>169</v>
      </c>
      <c r="H60" s="427">
        <v>2072</v>
      </c>
      <c r="I60" s="427" t="s">
        <v>169</v>
      </c>
    </row>
    <row r="61" spans="1:9" ht="19.5" customHeight="1" thickBot="1" x14ac:dyDescent="0.25">
      <c r="A61" s="431" t="s">
        <v>489</v>
      </c>
      <c r="B61" s="427" t="s">
        <v>169</v>
      </c>
      <c r="C61" s="430">
        <v>6.8181818180000002</v>
      </c>
      <c r="D61" s="430" t="s">
        <v>169</v>
      </c>
      <c r="E61" s="430">
        <v>7.0843373500000002</v>
      </c>
      <c r="F61" s="430" t="s">
        <v>169</v>
      </c>
      <c r="G61" s="430">
        <v>6.9531627199999999</v>
      </c>
      <c r="H61" s="430" t="s">
        <v>169</v>
      </c>
      <c r="I61" s="430">
        <v>7.6737451739999996</v>
      </c>
    </row>
    <row r="62" spans="1:9" ht="54.75" customHeight="1" x14ac:dyDescent="0.2">
      <c r="A62" s="432" t="s">
        <v>490</v>
      </c>
      <c r="B62" s="789">
        <v>1</v>
      </c>
      <c r="C62" s="790"/>
      <c r="D62" s="789">
        <v>1</v>
      </c>
      <c r="E62" s="791"/>
      <c r="F62" s="791">
        <v>1</v>
      </c>
      <c r="G62" s="790"/>
      <c r="H62" s="789">
        <v>1</v>
      </c>
      <c r="I62" s="790"/>
    </row>
    <row r="63" spans="1:9" ht="19.5" customHeight="1" x14ac:dyDescent="0.2">
      <c r="A63" s="32" t="s">
        <v>621</v>
      </c>
      <c r="B63" s="628">
        <v>10</v>
      </c>
      <c r="C63" s="628"/>
      <c r="D63" s="628">
        <v>10</v>
      </c>
      <c r="E63" s="628"/>
      <c r="F63" s="628">
        <v>10</v>
      </c>
      <c r="G63" s="628"/>
      <c r="H63" s="628">
        <v>10</v>
      </c>
      <c r="I63" s="628"/>
    </row>
  </sheetData>
  <sheetProtection sheet="1" formatCells="0" formatColumns="0" formatRows="0" insertColumns="0" insertRows="0" insertHyperlinks="0" deleteColumns="0" deleteRows="0" pivotTables="0"/>
  <mergeCells count="29">
    <mergeCell ref="A2:C2"/>
    <mergeCell ref="D2:I2"/>
    <mergeCell ref="A4:B4"/>
    <mergeCell ref="C4:D4"/>
    <mergeCell ref="E4:F4"/>
    <mergeCell ref="G4:I4"/>
    <mergeCell ref="J17:M25"/>
    <mergeCell ref="A7:B7"/>
    <mergeCell ref="C7:I7"/>
    <mergeCell ref="A9:I9"/>
    <mergeCell ref="A5:B5"/>
    <mergeCell ref="C5:D5"/>
    <mergeCell ref="E5:F5"/>
    <mergeCell ref="G5:I5"/>
    <mergeCell ref="A6:B6"/>
    <mergeCell ref="C6:D6"/>
    <mergeCell ref="E6:F6"/>
    <mergeCell ref="B63:C63"/>
    <mergeCell ref="D63:E63"/>
    <mergeCell ref="F63:G63"/>
    <mergeCell ref="H63:I63"/>
    <mergeCell ref="B11:C11"/>
    <mergeCell ref="D11:E11"/>
    <mergeCell ref="F11:G11"/>
    <mergeCell ref="H11:I11"/>
    <mergeCell ref="B62:C62"/>
    <mergeCell ref="D62:E62"/>
    <mergeCell ref="F62:G62"/>
    <mergeCell ref="H62:I62"/>
  </mergeCells>
  <pageMargins left="0.7" right="0.7" top="0.75" bottom="0.75" header="0" footer="0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BC30-0072-4953-AD26-87675A1EBF69}">
  <sheetPr>
    <tabColor theme="9" tint="-0.499984740745262"/>
    <pageSetUpPr fitToPage="1"/>
  </sheetPr>
  <dimension ref="A2:V34"/>
  <sheetViews>
    <sheetView showGridLines="0" topLeftCell="A11" zoomScale="95" zoomScaleNormal="95" workbookViewId="0">
      <selection activeCell="I16" sqref="I16"/>
    </sheetView>
  </sheetViews>
  <sheetFormatPr defaultColWidth="12.5703125" defaultRowHeight="15.75" customHeight="1" x14ac:dyDescent="0.2"/>
  <cols>
    <col min="1" max="1" width="14.140625" customWidth="1"/>
    <col min="2" max="2" width="14.85546875" customWidth="1"/>
    <col min="3" max="3" width="17.28515625" bestFit="1" customWidth="1"/>
    <col min="4" max="8" width="12.5703125" customWidth="1"/>
    <col min="9" max="9" width="36.28515625" customWidth="1"/>
    <col min="10" max="10" width="8.85546875" customWidth="1"/>
    <col min="11" max="20" width="7.5703125" customWidth="1"/>
  </cols>
  <sheetData>
    <row r="2" spans="1:13" ht="55.5" customHeight="1" x14ac:dyDescent="0.2">
      <c r="A2" s="659"/>
      <c r="B2" s="650"/>
      <c r="C2" s="658"/>
      <c r="D2" s="660" t="s">
        <v>207</v>
      </c>
      <c r="E2" s="650"/>
      <c r="F2" s="650"/>
      <c r="G2" s="650"/>
      <c r="H2" s="650"/>
      <c r="I2" s="658"/>
      <c r="J2" s="1"/>
    </row>
    <row r="3" spans="1:13" ht="22.5" customHeight="1" x14ac:dyDescent="0.2">
      <c r="A3" s="44"/>
      <c r="B3" s="44"/>
      <c r="C3" s="45"/>
      <c r="D3" s="45"/>
      <c r="E3" s="45"/>
      <c r="F3" s="45"/>
      <c r="G3" s="45"/>
      <c r="H3" s="45"/>
    </row>
    <row r="4" spans="1:13" ht="42" customHeight="1" x14ac:dyDescent="0.2">
      <c r="A4" s="572" t="s">
        <v>208</v>
      </c>
      <c r="B4" s="574"/>
      <c r="C4" s="649" t="e">
        <f>#REF!</f>
        <v>#REF!</v>
      </c>
      <c r="D4" s="658"/>
      <c r="E4" s="572" t="s">
        <v>209</v>
      </c>
      <c r="F4" s="574"/>
      <c r="G4" s="649" t="e">
        <f>#REF!</f>
        <v>#REF!</v>
      </c>
      <c r="H4" s="650"/>
      <c r="I4" s="658"/>
    </row>
    <row r="5" spans="1:13" ht="22.5" customHeight="1" x14ac:dyDescent="0.2">
      <c r="A5" s="572" t="s">
        <v>210</v>
      </c>
      <c r="B5" s="574"/>
      <c r="C5" s="792" t="e">
        <f>#REF!</f>
        <v>#REF!</v>
      </c>
      <c r="D5" s="775"/>
      <c r="E5" s="687" t="s">
        <v>211</v>
      </c>
      <c r="F5" s="574"/>
      <c r="G5" s="745" t="s">
        <v>235</v>
      </c>
      <c r="H5" s="650"/>
      <c r="I5" s="612"/>
    </row>
    <row r="6" spans="1:13" ht="22.5" customHeight="1" x14ac:dyDescent="0.2">
      <c r="A6" s="572" t="s">
        <v>213</v>
      </c>
      <c r="B6" s="574"/>
      <c r="C6" s="649" t="s">
        <v>214</v>
      </c>
      <c r="D6" s="658"/>
      <c r="E6" s="572" t="s">
        <v>236</v>
      </c>
      <c r="F6" s="574"/>
      <c r="G6" s="10" t="e">
        <f>#REF!</f>
        <v>#REF!</v>
      </c>
      <c r="I6" s="103"/>
    </row>
    <row r="7" spans="1:13" ht="22.5" customHeight="1" x14ac:dyDescent="0.2">
      <c r="A7" s="572" t="s">
        <v>216</v>
      </c>
      <c r="B7" s="574"/>
      <c r="C7" s="649" t="e">
        <f>#REF!</f>
        <v>#REF!</v>
      </c>
      <c r="D7" s="650"/>
      <c r="E7" s="650"/>
      <c r="F7" s="650"/>
      <c r="G7" s="650"/>
      <c r="H7" s="650"/>
      <c r="I7" s="658"/>
    </row>
    <row r="8" spans="1:13" ht="7.5" customHeight="1" x14ac:dyDescent="0.2"/>
    <row r="9" spans="1:13" ht="22.5" customHeight="1" thickBot="1" x14ac:dyDescent="0.25">
      <c r="A9" s="572" t="s">
        <v>217</v>
      </c>
      <c r="B9" s="573"/>
      <c r="C9" s="573"/>
      <c r="D9" s="573"/>
      <c r="E9" s="573"/>
      <c r="F9" s="573"/>
      <c r="G9" s="573"/>
      <c r="H9" s="573"/>
      <c r="I9" s="574"/>
    </row>
    <row r="10" spans="1:13" ht="22.5" customHeight="1" thickBot="1" x14ac:dyDescent="0.25">
      <c r="A10" s="433" t="s">
        <v>375</v>
      </c>
      <c r="B10" s="793" t="s">
        <v>491</v>
      </c>
      <c r="C10" s="794"/>
      <c r="D10" s="795"/>
      <c r="E10" s="793" t="s">
        <v>492</v>
      </c>
      <c r="F10" s="794"/>
      <c r="G10" s="795"/>
      <c r="H10" s="793" t="s">
        <v>493</v>
      </c>
      <c r="I10" s="794"/>
      <c r="J10" s="795"/>
      <c r="K10" s="793" t="s">
        <v>376</v>
      </c>
      <c r="L10" s="794"/>
      <c r="M10" s="795"/>
    </row>
    <row r="11" spans="1:13" ht="54.75" customHeight="1" thickBot="1" x14ac:dyDescent="0.25">
      <c r="A11" s="434" t="s">
        <v>494</v>
      </c>
      <c r="B11" s="435" t="s">
        <v>393</v>
      </c>
      <c r="C11" s="435" t="s">
        <v>394</v>
      </c>
      <c r="D11" s="436" t="s">
        <v>259</v>
      </c>
      <c r="E11" s="435" t="s">
        <v>393</v>
      </c>
      <c r="F11" s="435" t="s">
        <v>394</v>
      </c>
      <c r="G11" s="436" t="s">
        <v>259</v>
      </c>
      <c r="H11" s="435" t="s">
        <v>393</v>
      </c>
      <c r="I11" s="435" t="s">
        <v>394</v>
      </c>
      <c r="J11" s="436" t="s">
        <v>259</v>
      </c>
      <c r="K11" s="435" t="s">
        <v>393</v>
      </c>
      <c r="L11" s="435" t="s">
        <v>394</v>
      </c>
      <c r="M11" s="436" t="s">
        <v>259</v>
      </c>
    </row>
    <row r="12" spans="1:13" ht="19.5" customHeight="1" thickBot="1" x14ac:dyDescent="0.25">
      <c r="A12" s="437" t="s">
        <v>495</v>
      </c>
      <c r="B12" s="438">
        <v>24</v>
      </c>
      <c r="C12" s="438">
        <v>11</v>
      </c>
      <c r="D12" s="439">
        <v>35</v>
      </c>
      <c r="E12" s="438">
        <v>19</v>
      </c>
      <c r="F12" s="438">
        <v>16</v>
      </c>
      <c r="G12" s="439">
        <v>35</v>
      </c>
      <c r="H12" s="438">
        <v>6</v>
      </c>
      <c r="I12" s="438">
        <v>8</v>
      </c>
      <c r="J12" s="439">
        <v>14</v>
      </c>
      <c r="K12" s="438">
        <v>20</v>
      </c>
      <c r="L12" s="438">
        <v>11</v>
      </c>
      <c r="M12" s="439">
        <v>31</v>
      </c>
    </row>
    <row r="13" spans="1:13" ht="19.5" customHeight="1" thickBot="1" x14ac:dyDescent="0.25">
      <c r="A13" s="437" t="s">
        <v>424</v>
      </c>
      <c r="B13" s="438">
        <v>5</v>
      </c>
      <c r="C13" s="438">
        <v>2</v>
      </c>
      <c r="D13" s="439">
        <v>7</v>
      </c>
      <c r="E13" s="438">
        <v>6</v>
      </c>
      <c r="F13" s="438">
        <v>5</v>
      </c>
      <c r="G13" s="439">
        <v>11</v>
      </c>
      <c r="H13" s="438">
        <v>2</v>
      </c>
      <c r="I13" s="438">
        <v>6</v>
      </c>
      <c r="J13" s="439">
        <v>8</v>
      </c>
      <c r="K13" s="438">
        <v>2</v>
      </c>
      <c r="L13" s="438">
        <v>5</v>
      </c>
      <c r="M13" s="439">
        <v>7</v>
      </c>
    </row>
    <row r="14" spans="1:13" ht="19.5" customHeight="1" thickBot="1" x14ac:dyDescent="0.25">
      <c r="A14" s="437" t="s">
        <v>496</v>
      </c>
      <c r="B14" s="438">
        <v>0</v>
      </c>
      <c r="C14" s="438">
        <v>1</v>
      </c>
      <c r="D14" s="439">
        <v>1</v>
      </c>
      <c r="E14" s="438">
        <v>1</v>
      </c>
      <c r="F14" s="438">
        <v>0</v>
      </c>
      <c r="G14" s="439">
        <v>1</v>
      </c>
      <c r="H14" s="438">
        <v>0</v>
      </c>
      <c r="I14" s="438">
        <v>0</v>
      </c>
      <c r="J14" s="439">
        <v>0</v>
      </c>
      <c r="K14" s="438">
        <v>0</v>
      </c>
      <c r="L14" s="438">
        <v>0</v>
      </c>
      <c r="M14" s="439">
        <v>0</v>
      </c>
    </row>
    <row r="15" spans="1:13" ht="19.5" customHeight="1" thickBot="1" x14ac:dyDescent="0.25">
      <c r="A15" s="437" t="s">
        <v>497</v>
      </c>
      <c r="B15" s="438">
        <v>5</v>
      </c>
      <c r="C15" s="438">
        <v>4</v>
      </c>
      <c r="D15" s="439">
        <v>9</v>
      </c>
      <c r="E15" s="438">
        <v>1</v>
      </c>
      <c r="F15" s="438">
        <v>4</v>
      </c>
      <c r="G15" s="439">
        <v>5</v>
      </c>
      <c r="H15" s="438">
        <v>1</v>
      </c>
      <c r="I15" s="438">
        <v>1</v>
      </c>
      <c r="J15" s="439">
        <v>2</v>
      </c>
      <c r="K15" s="438">
        <v>8</v>
      </c>
      <c r="L15" s="438">
        <v>4</v>
      </c>
      <c r="M15" s="439">
        <v>12</v>
      </c>
    </row>
    <row r="16" spans="1:13" ht="19.5" customHeight="1" thickBot="1" x14ac:dyDescent="0.25">
      <c r="A16" s="437" t="s">
        <v>498</v>
      </c>
      <c r="B16" s="438">
        <v>0</v>
      </c>
      <c r="C16" s="438">
        <v>0</v>
      </c>
      <c r="D16" s="439">
        <v>0</v>
      </c>
      <c r="E16" s="438">
        <v>0</v>
      </c>
      <c r="F16" s="438">
        <v>0</v>
      </c>
      <c r="G16" s="439">
        <v>0</v>
      </c>
      <c r="H16" s="438">
        <v>0</v>
      </c>
      <c r="I16" s="438">
        <v>0</v>
      </c>
      <c r="J16" s="439">
        <v>0</v>
      </c>
      <c r="K16" s="438">
        <v>0</v>
      </c>
      <c r="L16" s="438">
        <v>1</v>
      </c>
      <c r="M16" s="439">
        <v>1</v>
      </c>
    </row>
    <row r="17" spans="1:22" ht="19.5" customHeight="1" thickBot="1" x14ac:dyDescent="0.25">
      <c r="A17" s="440" t="s">
        <v>259</v>
      </c>
      <c r="B17" s="439">
        <v>34</v>
      </c>
      <c r="C17" s="439">
        <v>18</v>
      </c>
      <c r="D17" s="439">
        <v>52</v>
      </c>
      <c r="E17" s="439">
        <v>27</v>
      </c>
      <c r="F17" s="439">
        <v>25</v>
      </c>
      <c r="G17" s="439">
        <v>52</v>
      </c>
      <c r="H17" s="439">
        <v>9</v>
      </c>
      <c r="I17" s="439">
        <v>15</v>
      </c>
      <c r="J17" s="439">
        <v>24</v>
      </c>
      <c r="K17" s="439">
        <v>30</v>
      </c>
      <c r="L17" s="439">
        <v>21</v>
      </c>
      <c r="M17" s="439">
        <v>51</v>
      </c>
    </row>
    <row r="18" spans="1:22" ht="19.5" customHeight="1" thickBot="1" x14ac:dyDescent="0.25">
      <c r="A18" s="437" t="s">
        <v>499</v>
      </c>
      <c r="B18" s="441"/>
      <c r="C18" s="441"/>
      <c r="D18" s="442">
        <v>2072</v>
      </c>
      <c r="E18" s="441"/>
      <c r="F18" s="441"/>
      <c r="G18" s="442">
        <v>2071</v>
      </c>
      <c r="H18" s="441"/>
      <c r="I18" s="441"/>
      <c r="J18" s="442">
        <v>2075</v>
      </c>
      <c r="K18" s="441"/>
      <c r="L18" s="441"/>
      <c r="M18" s="442">
        <v>1980</v>
      </c>
    </row>
    <row r="19" spans="1:22" ht="19.5" customHeight="1" thickBot="1" x14ac:dyDescent="0.25">
      <c r="A19" s="437" t="s">
        <v>314</v>
      </c>
      <c r="B19" s="441" t="s">
        <v>169</v>
      </c>
      <c r="C19" s="441"/>
      <c r="D19" s="445">
        <v>2.5096530000000001</v>
      </c>
      <c r="E19" s="446" t="s">
        <v>169</v>
      </c>
      <c r="F19" s="446" t="s">
        <v>169</v>
      </c>
      <c r="G19" s="445">
        <v>2.5108640000000002</v>
      </c>
      <c r="H19" s="446" t="s">
        <v>169</v>
      </c>
      <c r="I19" s="446" t="s">
        <v>169</v>
      </c>
      <c r="J19" s="445">
        <v>1.1566270000000001</v>
      </c>
      <c r="K19" s="446" t="s">
        <v>169</v>
      </c>
      <c r="L19" s="446" t="s">
        <v>169</v>
      </c>
      <c r="M19" s="445">
        <v>2.575758</v>
      </c>
    </row>
    <row r="20" spans="1:22" ht="19.5" customHeight="1" x14ac:dyDescent="0.2">
      <c r="A20" s="443" t="s">
        <v>500</v>
      </c>
      <c r="B20" s="796">
        <v>1</v>
      </c>
      <c r="C20" s="797"/>
      <c r="D20" s="798"/>
      <c r="E20" s="796">
        <v>1</v>
      </c>
      <c r="F20" s="797"/>
      <c r="G20" s="798"/>
      <c r="H20" s="796">
        <v>1</v>
      </c>
      <c r="I20" s="797"/>
      <c r="J20" s="797"/>
      <c r="K20" s="797">
        <v>1</v>
      </c>
      <c r="L20" s="797"/>
      <c r="M20" s="798"/>
    </row>
    <row r="21" spans="1:22" ht="19.5" customHeight="1" x14ac:dyDescent="0.2">
      <c r="A21" s="444" t="s">
        <v>501</v>
      </c>
      <c r="B21" s="628">
        <v>3</v>
      </c>
      <c r="C21" s="628"/>
      <c r="D21" s="628"/>
      <c r="E21" s="628">
        <v>3</v>
      </c>
      <c r="F21" s="628"/>
      <c r="G21" s="628"/>
      <c r="H21" s="628"/>
      <c r="I21" s="628">
        <v>3</v>
      </c>
      <c r="J21" s="628"/>
      <c r="K21" s="628"/>
      <c r="L21" s="628"/>
      <c r="M21" s="628"/>
    </row>
    <row r="22" spans="1:22" ht="19.5" customHeight="1" thickBot="1" x14ac:dyDescent="0.25"/>
    <row r="23" spans="1:22" ht="19.5" customHeight="1" thickBot="1" x14ac:dyDescent="0.25">
      <c r="H23" s="433" t="s">
        <v>375</v>
      </c>
      <c r="I23" s="447" t="s">
        <v>491</v>
      </c>
      <c r="J23" s="447" t="s">
        <v>492</v>
      </c>
      <c r="K23" s="447" t="s">
        <v>493</v>
      </c>
      <c r="L23" s="447" t="s">
        <v>376</v>
      </c>
    </row>
    <row r="24" spans="1:22" ht="19.5" customHeight="1" thickBot="1" x14ac:dyDescent="0.25">
      <c r="H24" s="434" t="s">
        <v>494</v>
      </c>
      <c r="I24" s="436" t="s">
        <v>259</v>
      </c>
      <c r="J24" s="436" t="s">
        <v>259</v>
      </c>
      <c r="K24" s="436" t="s">
        <v>259</v>
      </c>
      <c r="L24" s="436" t="s">
        <v>259</v>
      </c>
    </row>
    <row r="25" spans="1:22" ht="19.5" customHeight="1" thickBot="1" x14ac:dyDescent="0.25">
      <c r="H25" s="437" t="s">
        <v>495</v>
      </c>
      <c r="I25" s="439">
        <v>35</v>
      </c>
      <c r="J25" s="439">
        <v>35</v>
      </c>
      <c r="K25" s="439">
        <v>14</v>
      </c>
      <c r="L25" s="439">
        <v>31</v>
      </c>
    </row>
    <row r="26" spans="1:22" ht="19.5" customHeight="1" thickBot="1" x14ac:dyDescent="0.25">
      <c r="H26" s="437" t="s">
        <v>424</v>
      </c>
      <c r="I26" s="439">
        <v>7</v>
      </c>
      <c r="J26" s="439">
        <v>11</v>
      </c>
      <c r="K26" s="439">
        <v>8</v>
      </c>
      <c r="L26" s="439">
        <v>7</v>
      </c>
    </row>
    <row r="27" spans="1:22" ht="19.5" customHeight="1" thickBot="1" x14ac:dyDescent="0.25">
      <c r="H27" s="437" t="s">
        <v>496</v>
      </c>
      <c r="I27" s="439">
        <v>1</v>
      </c>
      <c r="J27" s="439">
        <v>1</v>
      </c>
      <c r="K27" s="439">
        <v>0</v>
      </c>
      <c r="L27" s="439">
        <v>0</v>
      </c>
    </row>
    <row r="28" spans="1:22" ht="19.5" customHeight="1" thickBot="1" x14ac:dyDescent="0.25">
      <c r="H28" s="437" t="s">
        <v>497</v>
      </c>
      <c r="I28" s="439">
        <v>9</v>
      </c>
      <c r="J28" s="439">
        <v>5</v>
      </c>
      <c r="K28" s="439">
        <v>2</v>
      </c>
      <c r="L28" s="439">
        <v>12</v>
      </c>
    </row>
    <row r="29" spans="1:22" ht="19.5" customHeight="1" thickBot="1" x14ac:dyDescent="0.25">
      <c r="H29" s="437" t="s">
        <v>498</v>
      </c>
      <c r="I29" s="439">
        <v>0</v>
      </c>
      <c r="J29" s="439">
        <v>0</v>
      </c>
      <c r="K29" s="439">
        <v>0</v>
      </c>
      <c r="L29" s="439">
        <v>1</v>
      </c>
    </row>
    <row r="30" spans="1:22" ht="19.5" customHeight="1" thickBot="1" x14ac:dyDescent="0.25">
      <c r="H30" s="440" t="s">
        <v>259</v>
      </c>
      <c r="I30" s="439">
        <v>52</v>
      </c>
      <c r="J30" s="439">
        <v>52</v>
      </c>
      <c r="K30" s="439">
        <v>24</v>
      </c>
      <c r="L30" s="439">
        <v>51</v>
      </c>
      <c r="V30" s="449" t="s">
        <v>169</v>
      </c>
    </row>
    <row r="31" spans="1:22" ht="19.5" customHeight="1" thickBot="1" x14ac:dyDescent="0.25">
      <c r="H31" s="437" t="s">
        <v>499</v>
      </c>
      <c r="I31" s="442">
        <v>2072</v>
      </c>
      <c r="J31" s="442">
        <v>2071</v>
      </c>
      <c r="K31" s="442">
        <v>2075</v>
      </c>
      <c r="L31" s="442">
        <v>1980</v>
      </c>
    </row>
    <row r="32" spans="1:22" ht="19.5" customHeight="1" x14ac:dyDescent="0.2">
      <c r="H32" s="443" t="s">
        <v>314</v>
      </c>
      <c r="I32" s="448">
        <v>2.5096530000000001</v>
      </c>
      <c r="J32" s="448">
        <v>2.5108640000000002</v>
      </c>
      <c r="K32" s="448">
        <v>1.1566270000000001</v>
      </c>
      <c r="L32" s="448">
        <v>2.575758</v>
      </c>
    </row>
    <row r="33" spans="8:12" ht="19.5" customHeight="1" x14ac:dyDescent="0.2">
      <c r="H33" s="444" t="s">
        <v>619</v>
      </c>
      <c r="I33" s="451">
        <v>3</v>
      </c>
      <c r="J33" s="451">
        <v>3</v>
      </c>
      <c r="K33" s="451">
        <v>3</v>
      </c>
      <c r="L33" s="451">
        <v>3</v>
      </c>
    </row>
    <row r="34" spans="8:12" ht="19.5" customHeight="1" x14ac:dyDescent="0.2">
      <c r="H34" s="444" t="s">
        <v>500</v>
      </c>
      <c r="I34" s="450">
        <v>1</v>
      </c>
      <c r="J34" s="450">
        <v>1</v>
      </c>
      <c r="K34" s="450">
        <v>1</v>
      </c>
      <c r="L34" s="450">
        <v>1</v>
      </c>
    </row>
  </sheetData>
  <sheetProtection sheet="1" formatCells="0" formatColumns="0" formatRows="0" insertColumns="0" insertRows="0" insertHyperlinks="0" deleteColumns="0" deleteRows="0" pivotTables="0"/>
  <mergeCells count="27">
    <mergeCell ref="A2:C2"/>
    <mergeCell ref="D2:I2"/>
    <mergeCell ref="A4:B4"/>
    <mergeCell ref="C4:D4"/>
    <mergeCell ref="E4:F4"/>
    <mergeCell ref="G4:I4"/>
    <mergeCell ref="A7:B7"/>
    <mergeCell ref="C7:I7"/>
    <mergeCell ref="A9:I9"/>
    <mergeCell ref="A5:B5"/>
    <mergeCell ref="C5:D5"/>
    <mergeCell ref="E5:F5"/>
    <mergeCell ref="G5:I5"/>
    <mergeCell ref="A6:B6"/>
    <mergeCell ref="C6:D6"/>
    <mergeCell ref="E6:F6"/>
    <mergeCell ref="B10:D10"/>
    <mergeCell ref="E10:G10"/>
    <mergeCell ref="H10:J10"/>
    <mergeCell ref="K10:M10"/>
    <mergeCell ref="B21:D21"/>
    <mergeCell ref="E21:H21"/>
    <mergeCell ref="I21:M21"/>
    <mergeCell ref="E20:G20"/>
    <mergeCell ref="B20:D20"/>
    <mergeCell ref="H20:J20"/>
    <mergeCell ref="K20:M20"/>
  </mergeCells>
  <pageMargins left="0.7" right="0.7" top="0.75" bottom="0.75" header="0" footer="0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B34B-8ED1-4E4B-8188-7D67BD0A0369}">
  <sheetPr>
    <tabColor theme="9" tint="-0.499984740745262"/>
    <pageSetUpPr fitToPage="1"/>
  </sheetPr>
  <dimension ref="A2:V34"/>
  <sheetViews>
    <sheetView showGridLines="0" topLeftCell="A18" zoomScale="95" zoomScaleNormal="95" workbookViewId="0">
      <selection activeCell="I23" sqref="I23"/>
    </sheetView>
  </sheetViews>
  <sheetFormatPr defaultColWidth="12.5703125" defaultRowHeight="15.75" customHeight="1" x14ac:dyDescent="0.2"/>
  <cols>
    <col min="1" max="1" width="14.140625" customWidth="1"/>
    <col min="2" max="2" width="14.85546875" customWidth="1"/>
    <col min="3" max="3" width="17.28515625" bestFit="1" customWidth="1"/>
    <col min="4" max="8" width="12.5703125" customWidth="1"/>
    <col min="9" max="9" width="13.5703125" customWidth="1"/>
    <col min="10" max="10" width="8.85546875" customWidth="1"/>
    <col min="11" max="17" width="7.5703125" customWidth="1"/>
    <col min="18" max="18" width="16" bestFit="1" customWidth="1"/>
    <col min="19" max="20" width="10" bestFit="1" customWidth="1"/>
  </cols>
  <sheetData>
    <row r="2" spans="1:22" ht="55.5" customHeight="1" x14ac:dyDescent="0.2">
      <c r="A2" s="659"/>
      <c r="B2" s="650"/>
      <c r="C2" s="658"/>
      <c r="D2" s="660" t="s">
        <v>207</v>
      </c>
      <c r="E2" s="650"/>
      <c r="F2" s="650"/>
      <c r="G2" s="650"/>
      <c r="H2" s="650"/>
      <c r="I2" s="658"/>
      <c r="J2" s="1"/>
    </row>
    <row r="3" spans="1:22" ht="22.5" customHeight="1" x14ac:dyDescent="0.2">
      <c r="A3" s="44"/>
      <c r="B3" s="44"/>
      <c r="C3" s="45"/>
      <c r="D3" s="45"/>
      <c r="E3" s="45"/>
      <c r="F3" s="45"/>
      <c r="G3" s="45"/>
      <c r="H3" s="45"/>
    </row>
    <row r="4" spans="1:22" ht="42" customHeight="1" x14ac:dyDescent="0.2">
      <c r="A4" s="572" t="s">
        <v>208</v>
      </c>
      <c r="B4" s="574"/>
      <c r="C4" s="649" t="e">
        <f>#REF!</f>
        <v>#REF!</v>
      </c>
      <c r="D4" s="658"/>
      <c r="E4" s="572" t="s">
        <v>209</v>
      </c>
      <c r="F4" s="574"/>
      <c r="G4" s="649" t="e">
        <f>#REF!</f>
        <v>#REF!</v>
      </c>
      <c r="H4" s="650"/>
      <c r="I4" s="658"/>
    </row>
    <row r="5" spans="1:22" ht="22.5" customHeight="1" x14ac:dyDescent="0.2">
      <c r="A5" s="572" t="s">
        <v>210</v>
      </c>
      <c r="B5" s="574"/>
      <c r="C5" s="792" t="e">
        <f>#REF!</f>
        <v>#REF!</v>
      </c>
      <c r="D5" s="775"/>
      <c r="E5" s="687" t="s">
        <v>211</v>
      </c>
      <c r="F5" s="574"/>
      <c r="G5" s="745" t="s">
        <v>235</v>
      </c>
      <c r="H5" s="650"/>
      <c r="I5" s="612"/>
    </row>
    <row r="6" spans="1:22" ht="22.5" customHeight="1" x14ac:dyDescent="0.2">
      <c r="A6" s="572" t="s">
        <v>213</v>
      </c>
      <c r="B6" s="574"/>
      <c r="C6" s="649" t="s">
        <v>214</v>
      </c>
      <c r="D6" s="658"/>
      <c r="E6" s="572" t="s">
        <v>236</v>
      </c>
      <c r="F6" s="574"/>
      <c r="G6" s="10" t="e">
        <f>#REF!</f>
        <v>#REF!</v>
      </c>
      <c r="I6" s="103"/>
    </row>
    <row r="7" spans="1:22" ht="22.5" customHeight="1" x14ac:dyDescent="0.2">
      <c r="A7" s="572" t="s">
        <v>216</v>
      </c>
      <c r="B7" s="574"/>
      <c r="C7" s="649" t="e">
        <f>#REF!</f>
        <v>#REF!</v>
      </c>
      <c r="D7" s="650"/>
      <c r="E7" s="650"/>
      <c r="F7" s="650"/>
      <c r="G7" s="650"/>
      <c r="H7" s="650"/>
      <c r="I7" s="658"/>
    </row>
    <row r="8" spans="1:22" ht="7.5" customHeight="1" x14ac:dyDescent="0.2"/>
    <row r="9" spans="1:22" ht="22.5" customHeight="1" x14ac:dyDescent="0.2">
      <c r="A9" s="572" t="s">
        <v>217</v>
      </c>
      <c r="B9" s="573"/>
      <c r="C9" s="573"/>
      <c r="D9" s="573"/>
      <c r="E9" s="573"/>
      <c r="F9" s="573"/>
      <c r="G9" s="573"/>
      <c r="H9" s="573"/>
      <c r="I9" s="574"/>
    </row>
    <row r="10" spans="1:22" s="252" customFormat="1" ht="22.5" customHeight="1" thickBot="1" x14ac:dyDescent="0.25">
      <c r="A10" s="349"/>
      <c r="B10" s="350"/>
      <c r="C10" s="350"/>
      <c r="D10" s="350"/>
      <c r="E10" s="350"/>
      <c r="F10" s="350"/>
      <c r="G10" s="350"/>
      <c r="H10" s="350"/>
      <c r="I10" s="350"/>
    </row>
    <row r="11" spans="1:22" s="252" customFormat="1" ht="22.5" customHeight="1" thickBot="1" x14ac:dyDescent="0.25">
      <c r="A11" s="505" t="s">
        <v>375</v>
      </c>
      <c r="B11" s="803" t="s">
        <v>491</v>
      </c>
      <c r="C11" s="804"/>
      <c r="D11" s="804"/>
      <c r="E11" s="805"/>
      <c r="F11" s="803" t="s">
        <v>492</v>
      </c>
      <c r="G11" s="804"/>
      <c r="H11" s="804"/>
      <c r="I11" s="805"/>
      <c r="J11" s="803" t="s">
        <v>493</v>
      </c>
      <c r="K11" s="804"/>
      <c r="L11" s="804"/>
      <c r="M11" s="805"/>
      <c r="N11" s="803" t="s">
        <v>376</v>
      </c>
      <c r="O11" s="804"/>
      <c r="P11" s="804"/>
      <c r="Q11" s="805"/>
      <c r="S11" s="540" t="s">
        <v>223</v>
      </c>
      <c r="T11" s="540" t="s">
        <v>222</v>
      </c>
      <c r="U11" s="540" t="s">
        <v>221</v>
      </c>
      <c r="V11" s="540" t="s">
        <v>220</v>
      </c>
    </row>
    <row r="12" spans="1:22" s="252" customFormat="1" ht="22.5" customHeight="1" thickBot="1" x14ac:dyDescent="0.25">
      <c r="A12" s="506" t="s">
        <v>494</v>
      </c>
      <c r="B12" s="507" t="s">
        <v>393</v>
      </c>
      <c r="C12" s="507" t="s">
        <v>394</v>
      </c>
      <c r="D12" s="507" t="s">
        <v>259</v>
      </c>
      <c r="E12" s="508" t="s">
        <v>502</v>
      </c>
      <c r="F12" s="508" t="s">
        <v>393</v>
      </c>
      <c r="G12" s="514" t="s">
        <v>394</v>
      </c>
      <c r="H12" s="517" t="s">
        <v>259</v>
      </c>
      <c r="I12" s="508" t="s">
        <v>502</v>
      </c>
      <c r="J12" s="507" t="s">
        <v>393</v>
      </c>
      <c r="K12" s="514" t="s">
        <v>394</v>
      </c>
      <c r="L12" s="518" t="s">
        <v>259</v>
      </c>
      <c r="M12" s="508" t="s">
        <v>502</v>
      </c>
      <c r="N12" s="508" t="s">
        <v>393</v>
      </c>
      <c r="O12" s="507" t="s">
        <v>503</v>
      </c>
      <c r="P12" s="507" t="s">
        <v>259</v>
      </c>
      <c r="Q12" s="538" t="s">
        <v>502</v>
      </c>
      <c r="R12" s="537" t="s">
        <v>259</v>
      </c>
      <c r="S12" s="541">
        <v>6.08</v>
      </c>
      <c r="T12" s="541">
        <v>5.79</v>
      </c>
      <c r="U12" s="541">
        <v>2.31</v>
      </c>
      <c r="V12" s="541">
        <v>3.38</v>
      </c>
    </row>
    <row r="13" spans="1:22" s="252" customFormat="1" ht="22.5" customHeight="1" thickBot="1" x14ac:dyDescent="0.25">
      <c r="A13" s="250" t="s">
        <v>238</v>
      </c>
      <c r="B13" s="509">
        <v>9</v>
      </c>
      <c r="C13" s="509">
        <v>3</v>
      </c>
      <c r="D13" s="509">
        <v>12</v>
      </c>
      <c r="E13" s="509">
        <v>0.56999999999999995</v>
      </c>
      <c r="F13" s="509">
        <v>19</v>
      </c>
      <c r="G13" s="509">
        <v>7</v>
      </c>
      <c r="H13" s="509">
        <v>26</v>
      </c>
      <c r="I13" s="509">
        <v>1.25</v>
      </c>
      <c r="J13" s="509">
        <v>5</v>
      </c>
      <c r="K13" s="509">
        <v>2</v>
      </c>
      <c r="L13" s="509">
        <v>7</v>
      </c>
      <c r="M13" s="509">
        <v>0.33</v>
      </c>
      <c r="N13" s="509">
        <v>11</v>
      </c>
      <c r="O13" s="509">
        <v>1</v>
      </c>
      <c r="P13" s="509">
        <v>12</v>
      </c>
      <c r="Q13" s="539">
        <v>0.60599999999999998</v>
      </c>
      <c r="R13" s="537" t="s">
        <v>620</v>
      </c>
      <c r="S13" s="542">
        <v>6</v>
      </c>
      <c r="T13" s="542">
        <v>6</v>
      </c>
      <c r="U13" s="542">
        <v>6</v>
      </c>
      <c r="V13" s="542">
        <v>6</v>
      </c>
    </row>
    <row r="14" spans="1:22" s="252" customFormat="1" ht="22.5" customHeight="1" thickBot="1" x14ac:dyDescent="0.25">
      <c r="A14" s="250" t="s">
        <v>240</v>
      </c>
      <c r="B14" s="509">
        <v>0</v>
      </c>
      <c r="C14" s="509">
        <v>0</v>
      </c>
      <c r="D14" s="509">
        <v>0</v>
      </c>
      <c r="E14" s="509">
        <v>0</v>
      </c>
      <c r="F14" s="509">
        <v>1</v>
      </c>
      <c r="G14" s="509">
        <v>1</v>
      </c>
      <c r="H14" s="509">
        <v>2</v>
      </c>
      <c r="I14" s="509">
        <v>9.6000000000000002E-2</v>
      </c>
      <c r="J14" s="509">
        <v>0</v>
      </c>
      <c r="K14" s="509">
        <v>1</v>
      </c>
      <c r="L14" s="509">
        <v>1</v>
      </c>
      <c r="M14" s="509">
        <v>0.04</v>
      </c>
      <c r="N14" s="509">
        <v>1</v>
      </c>
      <c r="O14" s="509">
        <v>3</v>
      </c>
      <c r="P14" s="509">
        <v>4</v>
      </c>
      <c r="Q14" s="509">
        <v>0.20200000000000001</v>
      </c>
    </row>
    <row r="15" spans="1:22" s="252" customFormat="1" ht="22.5" customHeight="1" thickBot="1" x14ac:dyDescent="0.25">
      <c r="A15" s="250" t="s">
        <v>247</v>
      </c>
      <c r="B15" s="509">
        <v>9</v>
      </c>
      <c r="C15" s="509">
        <v>11</v>
      </c>
      <c r="D15" s="509">
        <v>20</v>
      </c>
      <c r="E15" s="509">
        <v>0.96</v>
      </c>
      <c r="F15" s="509">
        <v>2</v>
      </c>
      <c r="G15" s="509">
        <v>9</v>
      </c>
      <c r="H15" s="509">
        <v>11</v>
      </c>
      <c r="I15" s="509">
        <v>0.53</v>
      </c>
      <c r="J15" s="509">
        <v>4</v>
      </c>
      <c r="K15" s="509">
        <v>8</v>
      </c>
      <c r="L15" s="509">
        <v>12</v>
      </c>
      <c r="M15" s="509">
        <v>0.56999999999999995</v>
      </c>
      <c r="N15" s="509">
        <v>11</v>
      </c>
      <c r="O15" s="509">
        <v>9</v>
      </c>
      <c r="P15" s="509">
        <v>20</v>
      </c>
      <c r="Q15" s="509">
        <v>1.01</v>
      </c>
    </row>
    <row r="16" spans="1:22" s="252" customFormat="1" ht="22.5" customHeight="1" thickBot="1" x14ac:dyDescent="0.25">
      <c r="A16" s="250" t="s">
        <v>248</v>
      </c>
      <c r="B16" s="509">
        <v>6</v>
      </c>
      <c r="C16" s="509">
        <v>5</v>
      </c>
      <c r="D16" s="509">
        <v>11</v>
      </c>
      <c r="E16" s="509">
        <v>0.53</v>
      </c>
      <c r="F16" s="509">
        <v>8</v>
      </c>
      <c r="G16" s="509">
        <v>6</v>
      </c>
      <c r="H16" s="509">
        <v>14</v>
      </c>
      <c r="I16" s="509">
        <v>0.67</v>
      </c>
      <c r="J16" s="509">
        <v>3</v>
      </c>
      <c r="K16" s="509">
        <v>3</v>
      </c>
      <c r="L16" s="509">
        <v>6</v>
      </c>
      <c r="M16" s="509">
        <v>0.28000000000000003</v>
      </c>
      <c r="N16" s="509">
        <v>0</v>
      </c>
      <c r="O16" s="509">
        <v>6</v>
      </c>
      <c r="P16" s="509">
        <v>6</v>
      </c>
      <c r="Q16" s="509">
        <v>0.3</v>
      </c>
    </row>
    <row r="17" spans="1:17" s="252" customFormat="1" ht="22.5" customHeight="1" thickBot="1" x14ac:dyDescent="0.25">
      <c r="A17" s="250" t="s">
        <v>245</v>
      </c>
      <c r="B17" s="509">
        <v>9</v>
      </c>
      <c r="C17" s="509">
        <v>4</v>
      </c>
      <c r="D17" s="509">
        <v>13</v>
      </c>
      <c r="E17" s="509">
        <v>0.62</v>
      </c>
      <c r="F17" s="509">
        <v>0</v>
      </c>
      <c r="G17" s="509">
        <v>3</v>
      </c>
      <c r="H17" s="509">
        <v>3</v>
      </c>
      <c r="I17" s="509">
        <v>0.14000000000000001</v>
      </c>
      <c r="J17" s="509">
        <v>0</v>
      </c>
      <c r="K17" s="509">
        <v>1</v>
      </c>
      <c r="L17" s="509">
        <v>1</v>
      </c>
      <c r="M17" s="509">
        <v>4.8000000000000001E-2</v>
      </c>
      <c r="N17" s="509">
        <v>0</v>
      </c>
      <c r="O17" s="509">
        <v>0</v>
      </c>
      <c r="P17" s="509">
        <v>0</v>
      </c>
      <c r="Q17" s="509">
        <v>0</v>
      </c>
    </row>
    <row r="18" spans="1:17" s="252" customFormat="1" ht="22.5" customHeight="1" thickBot="1" x14ac:dyDescent="0.25">
      <c r="A18" s="250" t="s">
        <v>240</v>
      </c>
      <c r="B18" s="509">
        <v>1</v>
      </c>
      <c r="C18" s="509">
        <v>2</v>
      </c>
      <c r="D18" s="509">
        <v>3</v>
      </c>
      <c r="E18" s="509">
        <v>0.14000000000000001</v>
      </c>
      <c r="F18" s="509">
        <v>1</v>
      </c>
      <c r="G18" s="509">
        <v>0</v>
      </c>
      <c r="H18" s="509">
        <v>1</v>
      </c>
      <c r="I18" s="509">
        <v>0.04</v>
      </c>
      <c r="J18" s="509">
        <v>1</v>
      </c>
      <c r="K18" s="509">
        <v>0</v>
      </c>
      <c r="L18" s="509">
        <v>1</v>
      </c>
      <c r="M18" s="509">
        <v>4.8000000000000001E-2</v>
      </c>
      <c r="N18" s="509">
        <v>2</v>
      </c>
      <c r="O18" s="509">
        <v>0</v>
      </c>
      <c r="P18" s="509">
        <v>2</v>
      </c>
      <c r="Q18" s="509" t="s">
        <v>504</v>
      </c>
    </row>
    <row r="19" spans="1:17" s="252" customFormat="1" ht="22.5" customHeight="1" thickBot="1" x14ac:dyDescent="0.25">
      <c r="A19" s="250" t="s">
        <v>330</v>
      </c>
      <c r="B19" s="509">
        <v>3</v>
      </c>
      <c r="C19" s="509">
        <v>4</v>
      </c>
      <c r="D19" s="509">
        <v>7</v>
      </c>
      <c r="E19" s="509">
        <v>0.33</v>
      </c>
      <c r="F19" s="509">
        <v>0</v>
      </c>
      <c r="G19" s="509">
        <v>0</v>
      </c>
      <c r="H19" s="509">
        <v>0</v>
      </c>
      <c r="I19" s="509">
        <v>0</v>
      </c>
      <c r="J19" s="509">
        <v>0</v>
      </c>
      <c r="K19" s="509">
        <v>0</v>
      </c>
      <c r="L19" s="509">
        <v>0</v>
      </c>
      <c r="M19" s="509">
        <v>0</v>
      </c>
      <c r="N19" s="509">
        <v>0</v>
      </c>
      <c r="O19" s="509">
        <v>0</v>
      </c>
      <c r="P19" s="509">
        <v>0</v>
      </c>
      <c r="Q19" s="509">
        <v>0</v>
      </c>
    </row>
    <row r="20" spans="1:17" s="252" customFormat="1" ht="22.5" customHeight="1" thickBot="1" x14ac:dyDescent="0.25">
      <c r="A20" s="250" t="s">
        <v>331</v>
      </c>
      <c r="B20" s="509">
        <v>1</v>
      </c>
      <c r="C20" s="509">
        <v>1</v>
      </c>
      <c r="D20" s="509">
        <v>2</v>
      </c>
      <c r="E20" s="509">
        <v>0.09</v>
      </c>
      <c r="F20" s="509">
        <v>0</v>
      </c>
      <c r="G20" s="509">
        <v>0</v>
      </c>
      <c r="H20" s="509">
        <v>0</v>
      </c>
      <c r="I20" s="509">
        <v>0</v>
      </c>
      <c r="J20" s="509">
        <v>0</v>
      </c>
      <c r="K20" s="509">
        <v>0</v>
      </c>
      <c r="L20" s="509">
        <v>0</v>
      </c>
      <c r="M20" s="509">
        <v>0</v>
      </c>
      <c r="N20" s="509">
        <v>1</v>
      </c>
      <c r="O20" s="509">
        <v>0</v>
      </c>
      <c r="P20" s="509">
        <v>1</v>
      </c>
      <c r="Q20" s="509">
        <v>0.05</v>
      </c>
    </row>
    <row r="21" spans="1:17" s="252" customFormat="1" ht="22.5" customHeight="1" thickBot="1" x14ac:dyDescent="0.25">
      <c r="A21" s="250" t="s">
        <v>255</v>
      </c>
      <c r="B21" s="509">
        <v>8</v>
      </c>
      <c r="C21" s="509">
        <v>4</v>
      </c>
      <c r="D21" s="509">
        <v>12</v>
      </c>
      <c r="E21" s="509">
        <v>0.57915099999999997</v>
      </c>
      <c r="F21" s="509">
        <v>2</v>
      </c>
      <c r="G21" s="509">
        <v>3</v>
      </c>
      <c r="H21" s="509">
        <v>5</v>
      </c>
      <c r="I21" s="509">
        <v>0.24099999999999999</v>
      </c>
      <c r="J21" s="509">
        <v>1</v>
      </c>
      <c r="K21" s="509">
        <v>1</v>
      </c>
      <c r="L21" s="509">
        <v>2</v>
      </c>
      <c r="M21" s="509">
        <v>9.6000000000000002E-2</v>
      </c>
      <c r="N21" s="509">
        <v>1</v>
      </c>
      <c r="O21" s="509">
        <v>0</v>
      </c>
      <c r="P21" s="509">
        <v>1</v>
      </c>
      <c r="Q21" s="509">
        <v>0.05</v>
      </c>
    </row>
    <row r="22" spans="1:17" s="252" customFormat="1" ht="22.5" customHeight="1" thickBot="1" x14ac:dyDescent="0.25">
      <c r="A22" s="250" t="s">
        <v>505</v>
      </c>
      <c r="B22" s="509">
        <v>0</v>
      </c>
      <c r="C22" s="509">
        <v>1</v>
      </c>
      <c r="D22" s="509">
        <v>1</v>
      </c>
      <c r="E22" s="509">
        <v>4.8000000000000001E-2</v>
      </c>
      <c r="F22" s="509">
        <v>0</v>
      </c>
      <c r="G22" s="509">
        <v>0</v>
      </c>
      <c r="H22" s="509">
        <v>0</v>
      </c>
      <c r="I22" s="509">
        <v>0</v>
      </c>
      <c r="J22" s="509">
        <v>0</v>
      </c>
      <c r="K22" s="509">
        <v>0</v>
      </c>
      <c r="L22" s="509">
        <v>0</v>
      </c>
      <c r="M22" s="509">
        <v>0</v>
      </c>
      <c r="N22" s="509">
        <v>0</v>
      </c>
      <c r="O22" s="509">
        <v>0</v>
      </c>
      <c r="P22" s="509">
        <v>0</v>
      </c>
      <c r="Q22" s="509">
        <v>0</v>
      </c>
    </row>
    <row r="23" spans="1:17" s="252" customFormat="1" ht="22.5" customHeight="1" thickBot="1" x14ac:dyDescent="0.25">
      <c r="A23" s="510" t="s">
        <v>259</v>
      </c>
      <c r="B23" s="509">
        <v>69</v>
      </c>
      <c r="C23" s="509">
        <v>57</v>
      </c>
      <c r="D23" s="509">
        <v>126</v>
      </c>
      <c r="E23" s="511">
        <v>6.08</v>
      </c>
      <c r="F23" s="509">
        <v>59</v>
      </c>
      <c r="G23" s="509">
        <v>61</v>
      </c>
      <c r="H23" s="509">
        <v>120</v>
      </c>
      <c r="I23" s="511">
        <v>5.79</v>
      </c>
      <c r="J23" s="509">
        <v>24</v>
      </c>
      <c r="K23" s="509">
        <v>24</v>
      </c>
      <c r="L23" s="509">
        <v>48</v>
      </c>
      <c r="M23" s="511">
        <v>2.31</v>
      </c>
      <c r="N23" s="509">
        <v>39</v>
      </c>
      <c r="O23" s="509">
        <v>28</v>
      </c>
      <c r="P23" s="509">
        <v>67</v>
      </c>
      <c r="Q23" s="511">
        <v>3.38</v>
      </c>
    </row>
    <row r="24" spans="1:17" s="252" customFormat="1" ht="22.5" customHeight="1" thickBot="1" x14ac:dyDescent="0.25">
      <c r="A24" s="510" t="s">
        <v>506</v>
      </c>
      <c r="B24" s="799">
        <v>2072</v>
      </c>
      <c r="C24" s="800"/>
      <c r="D24" s="800"/>
      <c r="E24" s="801"/>
      <c r="F24" s="802">
        <v>2071</v>
      </c>
      <c r="G24" s="800"/>
      <c r="H24" s="800"/>
      <c r="I24" s="801"/>
      <c r="J24" s="802">
        <v>2075</v>
      </c>
      <c r="K24" s="800"/>
      <c r="L24" s="801"/>
      <c r="M24" s="512"/>
      <c r="N24" s="799">
        <v>1980</v>
      </c>
      <c r="O24" s="800"/>
      <c r="P24" s="800"/>
      <c r="Q24" s="801"/>
    </row>
    <row r="25" spans="1:17" s="252" customFormat="1" ht="22.5" customHeight="1" thickBot="1" x14ac:dyDescent="0.25">
      <c r="A25" s="510" t="s">
        <v>507</v>
      </c>
      <c r="B25" s="799" t="s">
        <v>116</v>
      </c>
      <c r="C25" s="800"/>
      <c r="D25" s="800"/>
      <c r="E25" s="801"/>
      <c r="F25" s="802" t="s">
        <v>116</v>
      </c>
      <c r="G25" s="800"/>
      <c r="H25" s="800"/>
      <c r="I25" s="801"/>
      <c r="J25" s="802" t="s">
        <v>116</v>
      </c>
      <c r="K25" s="800"/>
      <c r="L25" s="800"/>
      <c r="M25" s="801"/>
      <c r="N25" s="802" t="s">
        <v>116</v>
      </c>
      <c r="O25" s="800"/>
      <c r="P25" s="800"/>
      <c r="Q25" s="801"/>
    </row>
    <row r="26" spans="1:17" s="252" customFormat="1" ht="22.5" customHeight="1" thickBot="1" x14ac:dyDescent="0.25">
      <c r="A26" s="510" t="s">
        <v>234</v>
      </c>
      <c r="B26" s="512"/>
      <c r="C26" s="512"/>
      <c r="D26" s="512"/>
      <c r="E26" s="515">
        <v>1</v>
      </c>
      <c r="F26" s="516"/>
      <c r="G26" s="516"/>
      <c r="H26" s="516"/>
      <c r="I26" s="515">
        <v>1</v>
      </c>
      <c r="J26" s="512"/>
      <c r="K26" s="512"/>
      <c r="L26" s="512"/>
      <c r="M26" s="509" t="s">
        <v>508</v>
      </c>
      <c r="N26" s="512"/>
      <c r="O26" s="512"/>
      <c r="P26" s="512"/>
      <c r="Q26" s="513">
        <v>1</v>
      </c>
    </row>
    <row r="34" spans="22:22" ht="19.5" customHeight="1" x14ac:dyDescent="0.2">
      <c r="V34" s="449" t="s">
        <v>169</v>
      </c>
    </row>
  </sheetData>
  <sheetProtection algorithmName="SHA-512" hashValue="iV4oqQEPsQPARWcKOin2n0oJeDbFR9UMsxQ6kgz3jlqmx+KJdFPGJPauG5bbmYBmaUohTGFVkqkjY+zT1D1Cbg==" saltValue="kfbV4wDVRQn7nT8nE3KSxg==" spinCount="100000" sheet="1" formatCells="0" formatColumns="0" formatRows="0" insertColumns="0" insertRows="0" insertHyperlinks="0" deleteColumns="0" deleteRows="0" pivotTables="0"/>
  <mergeCells count="28">
    <mergeCell ref="B25:E25"/>
    <mergeCell ref="F25:I25"/>
    <mergeCell ref="J25:M25"/>
    <mergeCell ref="N25:Q25"/>
    <mergeCell ref="F11:I11"/>
    <mergeCell ref="J11:M11"/>
    <mergeCell ref="N11:Q11"/>
    <mergeCell ref="B11:E11"/>
    <mergeCell ref="B24:E24"/>
    <mergeCell ref="F24:I24"/>
    <mergeCell ref="J24:L24"/>
    <mergeCell ref="N24:Q24"/>
    <mergeCell ref="A7:B7"/>
    <mergeCell ref="C7:I7"/>
    <mergeCell ref="A9:I9"/>
    <mergeCell ref="A5:B5"/>
    <mergeCell ref="C5:D5"/>
    <mergeCell ref="E5:F5"/>
    <mergeCell ref="G5:I5"/>
    <mergeCell ref="A6:B6"/>
    <mergeCell ref="C6:D6"/>
    <mergeCell ref="E6:F6"/>
    <mergeCell ref="A2:C2"/>
    <mergeCell ref="D2:I2"/>
    <mergeCell ref="A4:B4"/>
    <mergeCell ref="C4:D4"/>
    <mergeCell ref="E4:F4"/>
    <mergeCell ref="G4:I4"/>
  </mergeCells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AB70-0733-4C54-A804-AFA5A3014FB8}">
  <sheetPr>
    <tabColor theme="9" tint="-0.499984740745262"/>
  </sheetPr>
  <dimension ref="A2:L27"/>
  <sheetViews>
    <sheetView workbookViewId="0">
      <selection activeCell="L9" sqref="L9"/>
    </sheetView>
  </sheetViews>
  <sheetFormatPr defaultColWidth="9.140625" defaultRowHeight="12.75" x14ac:dyDescent="0.2"/>
  <cols>
    <col min="3" max="3" width="12.140625" customWidth="1"/>
    <col min="4" max="4" width="10.85546875" customWidth="1"/>
    <col min="5" max="5" width="12" customWidth="1"/>
    <col min="6" max="6" width="11.140625" customWidth="1"/>
    <col min="7" max="7" width="10.85546875" customWidth="1"/>
    <col min="8" max="8" width="11.85546875" customWidth="1"/>
    <col min="9" max="9" width="22.7109375" customWidth="1"/>
  </cols>
  <sheetData>
    <row r="2" spans="1:9" ht="77.25" customHeight="1" x14ac:dyDescent="0.25">
      <c r="A2" s="581"/>
      <c r="B2" s="544"/>
      <c r="C2" s="545"/>
      <c r="D2" s="546" t="s">
        <v>207</v>
      </c>
      <c r="E2" s="544"/>
      <c r="F2" s="544"/>
      <c r="G2" s="544"/>
      <c r="H2" s="544"/>
      <c r="I2" s="545"/>
    </row>
    <row r="3" spans="1:9" ht="16.5" x14ac:dyDescent="0.25">
      <c r="A3" s="294"/>
      <c r="B3" s="294"/>
      <c r="C3" s="295"/>
      <c r="D3" s="295"/>
      <c r="E3" s="295"/>
      <c r="F3" s="295"/>
      <c r="G3" s="295"/>
      <c r="H3" s="295"/>
      <c r="I3" s="293"/>
    </row>
    <row r="4" spans="1:9" ht="46.5" customHeight="1" x14ac:dyDescent="0.25">
      <c r="A4" s="547" t="s">
        <v>208</v>
      </c>
      <c r="B4" s="548"/>
      <c r="C4" s="582" t="e">
        <f>#REF!</f>
        <v>#REF!</v>
      </c>
      <c r="D4" s="583"/>
      <c r="E4" s="547" t="s">
        <v>209</v>
      </c>
      <c r="F4" s="548"/>
      <c r="G4" s="582" t="e">
        <f>#REF!</f>
        <v>#REF!</v>
      </c>
      <c r="H4" s="544"/>
      <c r="I4" s="545"/>
    </row>
    <row r="5" spans="1:9" ht="13.5" x14ac:dyDescent="0.25">
      <c r="A5" s="547" t="s">
        <v>229</v>
      </c>
      <c r="B5" s="548"/>
      <c r="C5" s="582" t="e">
        <f>#REF!</f>
        <v>#REF!</v>
      </c>
      <c r="D5" s="583"/>
      <c r="E5" s="552" t="s">
        <v>211</v>
      </c>
      <c r="F5" s="548"/>
      <c r="G5" s="582" t="s">
        <v>230</v>
      </c>
      <c r="H5" s="544"/>
      <c r="I5" s="545"/>
    </row>
    <row r="6" spans="1:9" ht="13.5" x14ac:dyDescent="0.25">
      <c r="A6" s="547" t="s">
        <v>213</v>
      </c>
      <c r="B6" s="548"/>
      <c r="C6" s="582" t="s">
        <v>214</v>
      </c>
      <c r="D6" s="583"/>
      <c r="E6" s="547" t="s">
        <v>215</v>
      </c>
      <c r="F6" s="548"/>
      <c r="G6" s="579" t="e">
        <f>#REF!</f>
        <v>#REF!</v>
      </c>
      <c r="H6" s="580"/>
      <c r="I6" s="551"/>
    </row>
    <row r="7" spans="1:9" ht="13.5" x14ac:dyDescent="0.25">
      <c r="A7" s="547" t="s">
        <v>216</v>
      </c>
      <c r="B7" s="548"/>
      <c r="C7" s="582" t="e">
        <f>#REF!</f>
        <v>#REF!</v>
      </c>
      <c r="D7" s="544"/>
      <c r="E7" s="544"/>
      <c r="F7" s="544"/>
      <c r="G7" s="544"/>
      <c r="H7" s="544"/>
      <c r="I7" s="545"/>
    </row>
    <row r="8" spans="1:9" ht="13.5" x14ac:dyDescent="0.25">
      <c r="A8" s="293"/>
      <c r="B8" s="293"/>
      <c r="C8" s="293"/>
      <c r="D8" s="293"/>
      <c r="E8" s="293"/>
      <c r="F8" s="293"/>
      <c r="G8" s="293"/>
      <c r="H8" s="293"/>
      <c r="I8" s="293"/>
    </row>
    <row r="9" spans="1:9" ht="13.5" x14ac:dyDescent="0.25">
      <c r="A9" s="547" t="s">
        <v>217</v>
      </c>
      <c r="B9" s="556"/>
      <c r="C9" s="556"/>
      <c r="D9" s="556"/>
      <c r="E9" s="556"/>
      <c r="F9" s="556"/>
      <c r="G9" s="556"/>
      <c r="H9" s="556"/>
      <c r="I9" s="548"/>
    </row>
    <row r="10" spans="1:9" ht="13.5" x14ac:dyDescent="0.25">
      <c r="A10" s="293"/>
      <c r="B10" s="293"/>
      <c r="C10" s="293"/>
      <c r="D10" s="293"/>
      <c r="E10" s="293"/>
      <c r="F10" s="293"/>
      <c r="G10" s="293"/>
      <c r="H10" s="293"/>
      <c r="I10" s="293"/>
    </row>
    <row r="11" spans="1:9" ht="28.5" x14ac:dyDescent="0.25">
      <c r="A11" s="293"/>
      <c r="B11" s="293"/>
      <c r="C11" s="296" t="s">
        <v>218</v>
      </c>
      <c r="D11" s="296" t="s">
        <v>219</v>
      </c>
      <c r="E11" s="296" t="s">
        <v>220</v>
      </c>
      <c r="F11" s="296" t="s">
        <v>221</v>
      </c>
      <c r="G11" s="296" t="s">
        <v>222</v>
      </c>
      <c r="H11" s="296" t="s">
        <v>223</v>
      </c>
      <c r="I11" s="293"/>
    </row>
    <row r="12" spans="1:9" ht="13.5" x14ac:dyDescent="0.25">
      <c r="A12" s="591" t="s">
        <v>224</v>
      </c>
      <c r="B12" s="545"/>
      <c r="C12" s="297" t="s">
        <v>231</v>
      </c>
      <c r="D12" s="297" t="s">
        <v>231</v>
      </c>
      <c r="E12" s="297" t="s">
        <v>231</v>
      </c>
      <c r="F12" s="298" t="s">
        <v>231</v>
      </c>
      <c r="G12" s="298" t="s">
        <v>232</v>
      </c>
      <c r="H12" s="298">
        <v>9</v>
      </c>
      <c r="I12" s="293"/>
    </row>
    <row r="13" spans="1:9" ht="13.5" x14ac:dyDescent="0.25">
      <c r="A13" s="592" t="s">
        <v>225</v>
      </c>
      <c r="B13" s="545"/>
      <c r="C13" s="297" t="s">
        <v>231</v>
      </c>
      <c r="D13" s="297" t="s">
        <v>231</v>
      </c>
      <c r="E13" s="297" t="s">
        <v>231</v>
      </c>
      <c r="F13" s="297" t="s">
        <v>231</v>
      </c>
      <c r="G13" s="297" t="s">
        <v>231</v>
      </c>
      <c r="H13" s="297">
        <v>3</v>
      </c>
      <c r="I13" s="293"/>
    </row>
    <row r="14" spans="1:9" ht="21.75" customHeight="1" x14ac:dyDescent="0.25">
      <c r="A14" s="592" t="s">
        <v>226</v>
      </c>
      <c r="B14" s="545"/>
      <c r="C14" s="299" t="s">
        <v>231</v>
      </c>
      <c r="D14" s="299" t="s">
        <v>231</v>
      </c>
      <c r="E14" s="299" t="s">
        <v>231</v>
      </c>
      <c r="F14" s="300" t="s">
        <v>231</v>
      </c>
      <c r="G14" s="300" t="s">
        <v>231</v>
      </c>
      <c r="H14" s="300">
        <f>H12/H13</f>
        <v>3</v>
      </c>
      <c r="I14" s="293"/>
    </row>
    <row r="17" spans="1:12" ht="13.5" x14ac:dyDescent="0.25">
      <c r="A17" s="547" t="s">
        <v>227</v>
      </c>
      <c r="B17" s="556"/>
      <c r="C17" s="556"/>
      <c r="D17" s="548"/>
      <c r="E17" s="293"/>
      <c r="F17" s="293"/>
      <c r="G17" s="293"/>
      <c r="H17" s="293"/>
      <c r="I17" s="547" t="s">
        <v>228</v>
      </c>
      <c r="J17" s="556"/>
      <c r="K17" s="556"/>
      <c r="L17" s="548"/>
    </row>
    <row r="18" spans="1:12" ht="16.5" x14ac:dyDescent="0.25">
      <c r="A18" s="293"/>
      <c r="B18" s="293"/>
      <c r="C18" s="293"/>
      <c r="D18" s="293"/>
      <c r="E18" s="293"/>
      <c r="F18" s="293"/>
      <c r="G18" s="293"/>
      <c r="H18" s="293"/>
      <c r="I18" s="301"/>
      <c r="J18" s="301"/>
      <c r="K18" s="301"/>
      <c r="L18" s="301"/>
    </row>
    <row r="19" spans="1:12" ht="13.5" x14ac:dyDescent="0.25">
      <c r="A19" s="293"/>
      <c r="B19" s="293"/>
      <c r="C19" s="293"/>
      <c r="D19" s="293"/>
      <c r="E19" s="293"/>
      <c r="F19" s="293"/>
      <c r="G19" s="293"/>
      <c r="H19" s="293"/>
      <c r="I19" s="584" t="s">
        <v>233</v>
      </c>
      <c r="J19" s="585"/>
      <c r="K19" s="585"/>
      <c r="L19" s="586"/>
    </row>
    <row r="20" spans="1:12" ht="13.5" x14ac:dyDescent="0.25">
      <c r="A20" s="293"/>
      <c r="B20" s="293"/>
      <c r="C20" s="293"/>
      <c r="D20" s="293"/>
      <c r="E20" s="293"/>
      <c r="F20" s="293"/>
      <c r="G20" s="293"/>
      <c r="H20" s="293"/>
      <c r="I20" s="587"/>
      <c r="J20" s="588"/>
      <c r="K20" s="588"/>
      <c r="L20" s="589"/>
    </row>
    <row r="21" spans="1:12" ht="13.5" x14ac:dyDescent="0.25">
      <c r="A21" s="293"/>
      <c r="B21" s="293"/>
      <c r="C21" s="293"/>
      <c r="D21" s="293"/>
      <c r="E21" s="293"/>
      <c r="F21" s="293"/>
      <c r="G21" s="293"/>
      <c r="H21" s="293"/>
      <c r="I21" s="587"/>
      <c r="J21" s="588"/>
      <c r="K21" s="588"/>
      <c r="L21" s="589"/>
    </row>
    <row r="22" spans="1:12" ht="13.5" x14ac:dyDescent="0.25">
      <c r="A22" s="293"/>
      <c r="B22" s="293"/>
      <c r="C22" s="293"/>
      <c r="D22" s="293"/>
      <c r="E22" s="293"/>
      <c r="F22" s="293"/>
      <c r="G22" s="293"/>
      <c r="H22" s="293"/>
      <c r="I22" s="587"/>
      <c r="J22" s="588"/>
      <c r="K22" s="588"/>
      <c r="L22" s="589"/>
    </row>
    <row r="23" spans="1:12" ht="13.5" x14ac:dyDescent="0.25">
      <c r="A23" s="293"/>
      <c r="B23" s="293"/>
      <c r="C23" s="293"/>
      <c r="D23" s="293"/>
      <c r="E23" s="293"/>
      <c r="F23" s="293"/>
      <c r="G23" s="293"/>
      <c r="H23" s="293"/>
      <c r="I23" s="587"/>
      <c r="J23" s="588"/>
      <c r="K23" s="588"/>
      <c r="L23" s="589"/>
    </row>
    <row r="24" spans="1:12" ht="13.5" x14ac:dyDescent="0.25">
      <c r="A24" s="293"/>
      <c r="B24" s="293"/>
      <c r="C24" s="293"/>
      <c r="D24" s="293"/>
      <c r="E24" s="293"/>
      <c r="F24" s="293"/>
      <c r="G24" s="293"/>
      <c r="H24" s="293"/>
      <c r="I24" s="587"/>
      <c r="J24" s="588"/>
      <c r="K24" s="588"/>
      <c r="L24" s="589"/>
    </row>
    <row r="25" spans="1:12" ht="13.5" x14ac:dyDescent="0.25">
      <c r="A25" s="293"/>
      <c r="B25" s="293"/>
      <c r="C25" s="293"/>
      <c r="D25" s="293"/>
      <c r="E25" s="293"/>
      <c r="F25" s="293"/>
      <c r="G25" s="293"/>
      <c r="H25" s="293"/>
      <c r="I25" s="587"/>
      <c r="J25" s="588"/>
      <c r="K25" s="588"/>
      <c r="L25" s="589"/>
    </row>
    <row r="26" spans="1:12" ht="13.5" x14ac:dyDescent="0.25">
      <c r="A26" s="293"/>
      <c r="B26" s="293"/>
      <c r="C26" s="293"/>
      <c r="D26" s="293"/>
      <c r="E26" s="293"/>
      <c r="F26" s="293"/>
      <c r="G26" s="293"/>
      <c r="H26" s="293"/>
      <c r="I26" s="587"/>
      <c r="J26" s="588"/>
      <c r="K26" s="588"/>
      <c r="L26" s="589"/>
    </row>
    <row r="27" spans="1:12" ht="13.5" x14ac:dyDescent="0.25">
      <c r="A27" s="293"/>
      <c r="B27" s="293"/>
      <c r="C27" s="293"/>
      <c r="D27" s="293"/>
      <c r="E27" s="293"/>
      <c r="F27" s="293"/>
      <c r="G27" s="293"/>
      <c r="H27" s="293"/>
      <c r="I27" s="590"/>
      <c r="J27" s="557"/>
      <c r="K27" s="557"/>
      <c r="L27" s="558"/>
    </row>
  </sheetData>
  <sheetProtection algorithmName="SHA-512" hashValue="qpL8NFq7ibIKyKJHZ2eP9nXwSIPtPkyQMM1wwrdrwSWNYU6ZIoN/GoXd+NhmTvOMQ8lHdqVAeP9MFfS+vn5Biw==" saltValue="FkonEceyuQpogmXNBRIStw==" spinCount="100000" sheet="1" formatCells="0" formatColumns="0" formatRows="0" insertColumns="0" insertRows="0" insertHyperlinks="0" deleteColumns="0" deleteRows="0" pivotTables="0"/>
  <mergeCells count="23">
    <mergeCell ref="A17:D17"/>
    <mergeCell ref="I17:L17"/>
    <mergeCell ref="I19:L27"/>
    <mergeCell ref="A7:B7"/>
    <mergeCell ref="C7:I7"/>
    <mergeCell ref="A9:I9"/>
    <mergeCell ref="A12:B12"/>
    <mergeCell ref="A13:B13"/>
    <mergeCell ref="A14:B14"/>
    <mergeCell ref="A5:B5"/>
    <mergeCell ref="C5:D5"/>
    <mergeCell ref="E5:F5"/>
    <mergeCell ref="G5:I5"/>
    <mergeCell ref="A6:B6"/>
    <mergeCell ref="C6:D6"/>
    <mergeCell ref="E6:F6"/>
    <mergeCell ref="G6:I6"/>
    <mergeCell ref="A2:C2"/>
    <mergeCell ref="D2:I2"/>
    <mergeCell ref="A4:B4"/>
    <mergeCell ref="C4:D4"/>
    <mergeCell ref="E4:F4"/>
    <mergeCell ref="G4:I4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A63A-B3D2-406B-9AFC-11A1F40BB37C}">
  <sheetPr>
    <tabColor theme="9" tint="-0.499984740745262"/>
    <pageSetUpPr fitToPage="1"/>
  </sheetPr>
  <dimension ref="B2:K48"/>
  <sheetViews>
    <sheetView showGridLines="0" topLeftCell="A39" workbookViewId="0">
      <selection activeCell="L49" sqref="L4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212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22" t="e">
        <f>#REF!</f>
        <v>#REF!</v>
      </c>
      <c r="J6" s="112"/>
    </row>
    <row r="7" spans="2:10" ht="22.5" customHeight="1" x14ac:dyDescent="0.2">
      <c r="B7" s="572" t="s">
        <v>216</v>
      </c>
      <c r="C7" s="574"/>
      <c r="D7" s="774" t="e">
        <f>#REF!</f>
        <v>#REF!</v>
      </c>
      <c r="E7" s="807"/>
      <c r="F7" s="807"/>
      <c r="G7" s="807"/>
      <c r="H7" s="808" t="s">
        <v>169</v>
      </c>
      <c r="I7" s="808"/>
      <c r="J7" s="80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</row>
    <row r="13" spans="2:10" ht="41.25" customHeight="1" x14ac:dyDescent="0.2">
      <c r="B13" s="667" t="s">
        <v>238</v>
      </c>
      <c r="C13" s="667"/>
      <c r="D13" s="58">
        <v>0.85</v>
      </c>
      <c r="E13" s="58">
        <v>0.87</v>
      </c>
      <c r="F13" s="58">
        <v>0.93</v>
      </c>
      <c r="G13" s="58">
        <v>0.89</v>
      </c>
      <c r="H13" s="58">
        <v>0.87880000000000003</v>
      </c>
      <c r="I13" s="58">
        <v>0.90600000000000003</v>
      </c>
      <c r="J13" s="121"/>
    </row>
    <row r="14" spans="2:10" ht="41.25" customHeight="1" x14ac:dyDescent="0.2">
      <c r="B14" s="667" t="s">
        <v>337</v>
      </c>
      <c r="C14" s="667"/>
      <c r="D14" s="92">
        <v>0.9</v>
      </c>
      <c r="E14" s="58">
        <v>0.92</v>
      </c>
      <c r="F14" s="58">
        <v>0.95</v>
      </c>
      <c r="G14" s="58">
        <v>0.92</v>
      </c>
      <c r="H14" s="58">
        <v>0.91500000000000004</v>
      </c>
      <c r="I14" s="58">
        <v>0.9</v>
      </c>
      <c r="J14" s="121"/>
    </row>
    <row r="15" spans="2:10" ht="41.25" customHeight="1" x14ac:dyDescent="0.2">
      <c r="B15" s="667" t="s">
        <v>287</v>
      </c>
      <c r="C15" s="667"/>
      <c r="D15" s="58">
        <v>0.75</v>
      </c>
      <c r="E15" s="58">
        <v>0.79</v>
      </c>
      <c r="F15" s="58">
        <v>0.78</v>
      </c>
      <c r="G15" s="58">
        <v>0.93</v>
      </c>
      <c r="H15" s="58">
        <v>0.80500000000000005</v>
      </c>
      <c r="I15" s="58">
        <v>0.83509999999999995</v>
      </c>
      <c r="J15" s="121"/>
    </row>
    <row r="16" spans="2:10" ht="41.25" customHeight="1" x14ac:dyDescent="0.2">
      <c r="B16" s="667" t="s">
        <v>241</v>
      </c>
      <c r="C16" s="667"/>
      <c r="D16" s="58">
        <v>0.82</v>
      </c>
      <c r="E16" s="58">
        <v>0.84</v>
      </c>
      <c r="F16" s="58">
        <v>0.88</v>
      </c>
      <c r="G16" s="58">
        <v>0.87</v>
      </c>
      <c r="H16" s="58">
        <v>0.875</v>
      </c>
      <c r="I16" s="58">
        <v>0.84499999999999997</v>
      </c>
      <c r="J16" s="121"/>
    </row>
    <row r="17" spans="2:11" ht="41.25" customHeight="1" x14ac:dyDescent="0.2">
      <c r="B17" s="667" t="s">
        <v>330</v>
      </c>
      <c r="C17" s="667"/>
      <c r="D17" s="92">
        <v>0.94</v>
      </c>
      <c r="E17" s="58">
        <v>0.94</v>
      </c>
      <c r="F17" s="58">
        <v>0.96</v>
      </c>
      <c r="G17" s="58">
        <v>0.94</v>
      </c>
      <c r="H17" s="58">
        <v>0.94</v>
      </c>
      <c r="I17" s="58">
        <v>0.93</v>
      </c>
      <c r="J17" s="121"/>
      <c r="K17" s="21"/>
    </row>
    <row r="18" spans="2:11" ht="41.25" customHeight="1" x14ac:dyDescent="0.2">
      <c r="B18" s="667" t="s">
        <v>331</v>
      </c>
      <c r="C18" s="667"/>
      <c r="D18" s="92">
        <v>0.93</v>
      </c>
      <c r="E18" s="58">
        <v>0.95</v>
      </c>
      <c r="F18" s="58">
        <v>0.97</v>
      </c>
      <c r="G18" s="526" t="s">
        <v>231</v>
      </c>
      <c r="H18" s="58">
        <v>0.94499999999999995</v>
      </c>
      <c r="I18" s="58">
        <v>0.93</v>
      </c>
      <c r="J18" s="121"/>
      <c r="K18" s="21"/>
    </row>
    <row r="19" spans="2:11" ht="41.25" customHeight="1" x14ac:dyDescent="0.2">
      <c r="B19" s="667" t="s">
        <v>244</v>
      </c>
      <c r="C19" s="667"/>
      <c r="D19" s="58">
        <v>0.66</v>
      </c>
      <c r="E19" s="58">
        <v>0.67</v>
      </c>
      <c r="F19" s="58">
        <v>0.68</v>
      </c>
      <c r="G19" s="527">
        <v>0.67</v>
      </c>
      <c r="H19" s="201">
        <v>0.87</v>
      </c>
      <c r="I19" s="201">
        <v>0.67</v>
      </c>
      <c r="J19" s="121"/>
      <c r="K19" s="21"/>
    </row>
    <row r="20" spans="2:11" ht="41.25" customHeight="1" x14ac:dyDescent="0.2">
      <c r="B20" s="667" t="s">
        <v>245</v>
      </c>
      <c r="C20" s="667"/>
      <c r="D20" s="104" t="s">
        <v>311</v>
      </c>
      <c r="E20" s="58">
        <v>0.7</v>
      </c>
      <c r="F20" s="58">
        <v>0.86</v>
      </c>
      <c r="G20" s="62">
        <v>0.88</v>
      </c>
      <c r="H20" s="62">
        <v>0.89</v>
      </c>
      <c r="I20" s="62">
        <v>0.89</v>
      </c>
      <c r="J20" s="121"/>
      <c r="K20" s="21"/>
    </row>
    <row r="21" spans="2:11" ht="41.25" customHeight="1" x14ac:dyDescent="0.2">
      <c r="B21" s="667" t="s">
        <v>246</v>
      </c>
      <c r="C21" s="667"/>
      <c r="D21" s="58">
        <v>0.72</v>
      </c>
      <c r="E21" s="58">
        <v>0.75</v>
      </c>
      <c r="F21" s="58">
        <v>0.81</v>
      </c>
      <c r="G21" s="58">
        <v>0.83</v>
      </c>
      <c r="H21" s="58">
        <v>0.81499999999999995</v>
      </c>
      <c r="I21" s="58">
        <v>0.81</v>
      </c>
      <c r="J21" s="27"/>
    </row>
    <row r="22" spans="2:11" ht="41.25" customHeight="1" x14ac:dyDescent="0.2">
      <c r="B22" s="667" t="s">
        <v>247</v>
      </c>
      <c r="C22" s="667"/>
      <c r="D22" s="58">
        <v>0.88</v>
      </c>
      <c r="E22" s="58">
        <v>0.84</v>
      </c>
      <c r="F22" s="58">
        <v>0.9</v>
      </c>
      <c r="G22" s="58">
        <v>0.84</v>
      </c>
      <c r="H22" s="58">
        <v>0.84</v>
      </c>
      <c r="I22" s="58">
        <v>0.86</v>
      </c>
      <c r="J22" s="28"/>
      <c r="K22" s="53"/>
    </row>
    <row r="23" spans="2:11" ht="41.25" customHeight="1" x14ac:dyDescent="0.2">
      <c r="B23" s="667" t="s">
        <v>248</v>
      </c>
      <c r="C23" s="667"/>
      <c r="D23" s="58">
        <v>0.76</v>
      </c>
      <c r="E23" s="58">
        <v>0.78</v>
      </c>
      <c r="F23" s="58">
        <v>0.81</v>
      </c>
      <c r="G23" s="58">
        <v>0.76</v>
      </c>
      <c r="H23" s="275">
        <v>0.76</v>
      </c>
      <c r="I23" s="275">
        <v>0.74</v>
      </c>
      <c r="J23" s="28"/>
      <c r="K23" s="53"/>
    </row>
    <row r="24" spans="2:11" ht="41.25" customHeight="1" x14ac:dyDescent="0.2">
      <c r="B24" s="667" t="s">
        <v>261</v>
      </c>
      <c r="C24" s="667"/>
      <c r="D24" s="58">
        <v>0.94</v>
      </c>
      <c r="E24" s="58">
        <v>0.98</v>
      </c>
      <c r="F24" s="58">
        <v>0.89</v>
      </c>
      <c r="G24" s="58">
        <v>0.96</v>
      </c>
      <c r="H24" s="58">
        <v>0.99</v>
      </c>
      <c r="I24" s="58">
        <v>0.96</v>
      </c>
      <c r="J24" s="28"/>
      <c r="K24" s="53"/>
    </row>
    <row r="25" spans="2:11" ht="41.25" customHeight="1" x14ac:dyDescent="0.2">
      <c r="B25" s="667" t="s">
        <v>292</v>
      </c>
      <c r="C25" s="667"/>
      <c r="D25" s="58">
        <v>0.84</v>
      </c>
      <c r="E25" s="58">
        <v>0.94</v>
      </c>
      <c r="F25" s="58">
        <v>0.86</v>
      </c>
      <c r="G25" s="58">
        <v>0.9</v>
      </c>
      <c r="H25" s="58">
        <v>0.93</v>
      </c>
      <c r="I25" s="58">
        <v>0.94</v>
      </c>
      <c r="J25" s="28"/>
      <c r="K25" s="53"/>
    </row>
    <row r="26" spans="2:11" ht="41.25" customHeight="1" x14ac:dyDescent="0.2">
      <c r="B26" s="667" t="s">
        <v>263</v>
      </c>
      <c r="C26" s="667"/>
      <c r="D26" s="58">
        <v>0.94</v>
      </c>
      <c r="E26" s="58">
        <v>0.95</v>
      </c>
      <c r="F26" s="58">
        <v>0.95</v>
      </c>
      <c r="G26" s="58">
        <v>0.97</v>
      </c>
      <c r="H26" s="58">
        <v>0.99</v>
      </c>
      <c r="I26" s="58">
        <v>0.97</v>
      </c>
      <c r="J26" s="28"/>
      <c r="K26" s="53"/>
    </row>
    <row r="27" spans="2:11" ht="41.25" customHeight="1" x14ac:dyDescent="0.2">
      <c r="B27" s="667" t="s">
        <v>264</v>
      </c>
      <c r="C27" s="667"/>
      <c r="D27" s="58">
        <v>0.97</v>
      </c>
      <c r="E27" s="58">
        <v>0.93</v>
      </c>
      <c r="F27" s="58">
        <v>0.97</v>
      </c>
      <c r="G27" s="58">
        <v>0.94</v>
      </c>
      <c r="H27" s="58">
        <v>0.94</v>
      </c>
      <c r="I27" s="58">
        <v>0.97</v>
      </c>
      <c r="J27" s="28"/>
      <c r="K27" s="53"/>
    </row>
    <row r="28" spans="2:11" ht="41.25" customHeight="1" x14ac:dyDescent="0.2">
      <c r="B28" s="667" t="s">
        <v>277</v>
      </c>
      <c r="C28" s="667"/>
      <c r="D28" s="58">
        <v>0.83</v>
      </c>
      <c r="E28" s="58">
        <v>0.9</v>
      </c>
      <c r="F28" s="58">
        <v>0.86</v>
      </c>
      <c r="G28" s="58">
        <v>0.86</v>
      </c>
      <c r="H28" s="58">
        <v>1</v>
      </c>
      <c r="I28" s="58">
        <v>1</v>
      </c>
      <c r="J28" s="28"/>
      <c r="K28" s="53"/>
    </row>
    <row r="29" spans="2:11" ht="41.25" customHeight="1" x14ac:dyDescent="0.2">
      <c r="B29" s="667" t="s">
        <v>265</v>
      </c>
      <c r="C29" s="667"/>
      <c r="D29" s="58">
        <v>1</v>
      </c>
      <c r="E29" s="58">
        <v>1</v>
      </c>
      <c r="F29" s="58">
        <v>0.98</v>
      </c>
      <c r="G29" s="58">
        <v>0.96</v>
      </c>
      <c r="H29" s="58" t="s">
        <v>231</v>
      </c>
      <c r="I29" s="58">
        <v>1</v>
      </c>
      <c r="J29" s="28"/>
      <c r="K29" s="53"/>
    </row>
    <row r="30" spans="2:11" ht="41.25" customHeight="1" x14ac:dyDescent="0.2">
      <c r="B30" s="667" t="s">
        <v>509</v>
      </c>
      <c r="C30" s="667"/>
      <c r="D30" s="58">
        <v>1</v>
      </c>
      <c r="E30" s="58">
        <v>0.97</v>
      </c>
      <c r="F30" s="58">
        <v>0.72</v>
      </c>
      <c r="G30" s="58">
        <v>0.99</v>
      </c>
      <c r="H30" s="58">
        <v>0.96</v>
      </c>
      <c r="I30" s="58">
        <v>0.95</v>
      </c>
      <c r="K30" s="68" t="s">
        <v>228</v>
      </c>
    </row>
    <row r="31" spans="2:11" ht="22.5" customHeight="1" x14ac:dyDescent="0.2">
      <c r="B31" s="806" t="e">
        <f>D5</f>
        <v>#REF!</v>
      </c>
      <c r="C31" s="806"/>
      <c r="D31" s="15">
        <f>COUNTIF(D13:D30,"&gt;=80%")</f>
        <v>13</v>
      </c>
      <c r="E31" s="15">
        <f t="shared" ref="E31:G31" si="0">COUNTIF(E13:E30,"&gt;=80%")</f>
        <v>13</v>
      </c>
      <c r="F31" s="15">
        <f t="shared" si="0"/>
        <v>15</v>
      </c>
      <c r="G31" s="15">
        <f t="shared" si="0"/>
        <v>15</v>
      </c>
      <c r="H31" s="15">
        <f>COUNTIF(H13:H30,"&gt;=80%")</f>
        <v>16</v>
      </c>
      <c r="I31" s="15">
        <f>COUNTIF(I13:I30,"&gt;=80%")</f>
        <v>16</v>
      </c>
      <c r="K31" s="7"/>
    </row>
    <row r="32" spans="2:11" ht="22.5" customHeight="1" x14ac:dyDescent="0.2">
      <c r="B32" s="644" t="s">
        <v>268</v>
      </c>
      <c r="C32" s="644"/>
      <c r="D32" s="15">
        <f>COUNT(D13:D30)</f>
        <v>17</v>
      </c>
      <c r="E32" s="15">
        <f t="shared" ref="E32:I32" si="1">COUNT(E13:E30)</f>
        <v>18</v>
      </c>
      <c r="F32" s="15">
        <f t="shared" si="1"/>
        <v>18</v>
      </c>
      <c r="G32" s="15">
        <f t="shared" si="1"/>
        <v>17</v>
      </c>
      <c r="H32" s="15">
        <f t="shared" si="1"/>
        <v>17</v>
      </c>
      <c r="I32" s="15">
        <f t="shared" si="1"/>
        <v>18</v>
      </c>
      <c r="K32" s="148" t="s">
        <v>403</v>
      </c>
    </row>
    <row r="33" spans="2:10" ht="22.5" customHeight="1" x14ac:dyDescent="0.2">
      <c r="B33" s="640" t="s">
        <v>225</v>
      </c>
      <c r="C33" s="706"/>
      <c r="D33" s="486">
        <v>0.8</v>
      </c>
      <c r="E33" s="486">
        <v>0.8</v>
      </c>
      <c r="F33" s="486">
        <v>0.8</v>
      </c>
      <c r="G33" s="486">
        <v>0.8</v>
      </c>
      <c r="H33" s="486">
        <v>0.8</v>
      </c>
      <c r="I33" s="486">
        <v>0.8</v>
      </c>
    </row>
    <row r="34" spans="2:10" ht="22.5" customHeight="1" x14ac:dyDescent="0.2">
      <c r="B34" s="640" t="s">
        <v>226</v>
      </c>
      <c r="C34" s="706"/>
      <c r="D34" s="46">
        <f t="shared" ref="D34:I34" si="2">D31/D32</f>
        <v>0.76470588235294112</v>
      </c>
      <c r="E34" s="46">
        <f t="shared" si="2"/>
        <v>0.72222222222222221</v>
      </c>
      <c r="F34" s="46">
        <f t="shared" si="2"/>
        <v>0.83333333333333337</v>
      </c>
      <c r="G34" s="46">
        <f t="shared" si="2"/>
        <v>0.88235294117647056</v>
      </c>
      <c r="H34" s="46">
        <f t="shared" si="2"/>
        <v>0.94117647058823528</v>
      </c>
      <c r="I34" s="46">
        <f t="shared" si="2"/>
        <v>0.88888888888888884</v>
      </c>
    </row>
    <row r="35" spans="2:10" ht="22.5" customHeight="1" x14ac:dyDescent="0.25">
      <c r="B35" s="5"/>
      <c r="C35" s="5"/>
      <c r="D35" s="4"/>
      <c r="E35" s="4"/>
      <c r="F35" s="4"/>
      <c r="G35" s="4"/>
      <c r="H35" s="4"/>
      <c r="I35" s="4"/>
    </row>
    <row r="36" spans="2:10" ht="22.5" customHeight="1" x14ac:dyDescent="0.2">
      <c r="B36" s="572" t="s">
        <v>227</v>
      </c>
      <c r="C36" s="573"/>
      <c r="D36" s="573"/>
      <c r="E36" s="574"/>
      <c r="F36" s="6"/>
    </row>
    <row r="37" spans="2:10" ht="22.5" customHeight="1" x14ac:dyDescent="0.2">
      <c r="B37" s="6"/>
      <c r="C37" s="6"/>
      <c r="D37" s="6"/>
      <c r="E37" s="6"/>
      <c r="F37" s="6"/>
    </row>
    <row r="38" spans="2:10" ht="6" customHeight="1" x14ac:dyDescent="0.2">
      <c r="B38" s="6"/>
      <c r="C38" s="6"/>
      <c r="D38" s="6"/>
      <c r="E38" s="6"/>
      <c r="F38" s="6"/>
    </row>
    <row r="39" spans="2:10" ht="19.5" customHeight="1" x14ac:dyDescent="0.2">
      <c r="B39" s="6"/>
      <c r="C39" s="6"/>
      <c r="D39" s="6"/>
      <c r="E39" s="6"/>
      <c r="F39" s="6"/>
    </row>
    <row r="40" spans="2:10" ht="19.5" customHeight="1" x14ac:dyDescent="0.2">
      <c r="B40" s="6"/>
      <c r="C40" s="6"/>
      <c r="D40" s="6"/>
      <c r="E40" s="6"/>
      <c r="F40" s="6"/>
    </row>
    <row r="41" spans="2:10" ht="19.5" customHeight="1" x14ac:dyDescent="0.2">
      <c r="B41" s="6"/>
      <c r="C41" s="6"/>
      <c r="D41" s="6"/>
      <c r="E41" s="6"/>
      <c r="F41" s="6"/>
    </row>
    <row r="42" spans="2:10" ht="19.5" customHeight="1" x14ac:dyDescent="0.2">
      <c r="B42" s="6"/>
      <c r="C42" s="6"/>
      <c r="D42" s="6"/>
      <c r="E42" s="6"/>
      <c r="F42" s="6"/>
    </row>
    <row r="43" spans="2:10" ht="19.5" customHeight="1" x14ac:dyDescent="0.2">
      <c r="B43" s="6"/>
      <c r="C43" s="6"/>
      <c r="D43" s="6"/>
      <c r="E43" s="6"/>
      <c r="F43" s="6"/>
    </row>
    <row r="44" spans="2:10" ht="19.5" customHeight="1" x14ac:dyDescent="0.2">
      <c r="B44" s="6"/>
      <c r="C44" s="6"/>
      <c r="D44" s="6"/>
      <c r="E44" s="6"/>
      <c r="F44" s="6"/>
    </row>
    <row r="45" spans="2:10" ht="19.5" customHeight="1" x14ac:dyDescent="0.2">
      <c r="B45" s="6"/>
      <c r="C45" s="6"/>
      <c r="D45" s="6"/>
      <c r="E45" s="6"/>
      <c r="F45" s="6"/>
    </row>
    <row r="46" spans="2:10" ht="19.5" customHeight="1" x14ac:dyDescent="0.2">
      <c r="B46" s="6"/>
      <c r="C46" s="6"/>
      <c r="D46" s="6"/>
      <c r="E46" s="6"/>
      <c r="F46" s="6"/>
    </row>
    <row r="47" spans="2:10" ht="19.5" customHeight="1" x14ac:dyDescent="0.2"/>
    <row r="48" spans="2:10" ht="19.5" customHeight="1" x14ac:dyDescent="0.2">
      <c r="H48" s="568" t="s">
        <v>169</v>
      </c>
      <c r="I48" s="569"/>
      <c r="J48" s="569"/>
    </row>
  </sheetData>
  <sheetProtection algorithmName="SHA-512" hashValue="ujQyafKBV2nQg7GRU2TZquAc39XIeKzIVOvPsa9mvOAZt0VLaNqfeTxATlFPDM9K0BgaXprgys+K73RDpnBXmw==" saltValue="XQo8Q2uFRx4NwN69mKCyIw==" spinCount="100000" sheet="1" formatCells="0" formatColumns="0" formatRows="0" insertColumns="0" insertRows="0" insertHyperlinks="0" deleteColumns="0" deleteRows="0" pivotTables="0"/>
  <mergeCells count="41">
    <mergeCell ref="H48:J48"/>
    <mergeCell ref="B18:C18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6:E36"/>
    <mergeCell ref="B19:C19"/>
    <mergeCell ref="B20:C20"/>
    <mergeCell ref="B21:C21"/>
    <mergeCell ref="B22:C22"/>
    <mergeCell ref="B30:C30"/>
    <mergeCell ref="B31:C31"/>
    <mergeCell ref="B17:C17"/>
    <mergeCell ref="B7:C7"/>
    <mergeCell ref="B9:J9"/>
    <mergeCell ref="B13:C13"/>
    <mergeCell ref="B14:C14"/>
    <mergeCell ref="B15:C15"/>
    <mergeCell ref="B16:C16"/>
    <mergeCell ref="D7:G7"/>
    <mergeCell ref="H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30">
    <cfRule type="cellIs" dxfId="31" priority="1" operator="between">
      <formula>0</formula>
      <formula>0.72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1277-9D25-4A2F-855F-0299CB275CB8}">
  <sheetPr>
    <tabColor theme="9" tint="-0.499984740745262"/>
    <pageSetUpPr fitToPage="1"/>
  </sheetPr>
  <dimension ref="B2:M47"/>
  <sheetViews>
    <sheetView showGridLines="0" topLeftCell="A28" workbookViewId="0">
      <selection activeCell="G31" sqref="G31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3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3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3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3" ht="22.5" customHeight="1" x14ac:dyDescent="0.2">
      <c r="B5" s="572" t="s">
        <v>362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3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3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3" ht="7.5" customHeight="1" x14ac:dyDescent="0.2"/>
    <row r="9" spans="2:13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3" ht="22.5" customHeight="1" x14ac:dyDescent="0.2"/>
    <row r="11" spans="2:13" ht="22.5" customHeight="1" x14ac:dyDescent="0.2">
      <c r="B11" s="809"/>
      <c r="C11" s="809"/>
      <c r="D11" s="89" t="s">
        <v>219</v>
      </c>
      <c r="E11" s="89" t="s">
        <v>220</v>
      </c>
      <c r="F11" s="89" t="s">
        <v>221</v>
      </c>
      <c r="G11" s="89" t="s">
        <v>222</v>
      </c>
      <c r="H11" s="89" t="s">
        <v>223</v>
      </c>
      <c r="I11" s="22"/>
      <c r="K11" s="19"/>
      <c r="L11" s="19"/>
      <c r="M11" s="19"/>
    </row>
    <row r="12" spans="2:13" ht="22.5" customHeight="1" x14ac:dyDescent="0.2">
      <c r="B12" s="597" t="s">
        <v>238</v>
      </c>
      <c r="C12" s="597"/>
      <c r="D12" s="29">
        <f>(3.47+3.24)/2</f>
        <v>3.3550000000000004</v>
      </c>
      <c r="E12" s="29">
        <v>3.42</v>
      </c>
      <c r="F12" s="29">
        <f>(3.51+3.12)/2</f>
        <v>3.3149999999999999</v>
      </c>
      <c r="G12" s="29">
        <v>3.34</v>
      </c>
      <c r="H12" s="29">
        <v>3.28</v>
      </c>
      <c r="I12" s="22"/>
      <c r="K12" s="19"/>
      <c r="L12" s="19"/>
      <c r="M12" s="19"/>
    </row>
    <row r="13" spans="2:13" ht="22.5" customHeight="1" x14ac:dyDescent="0.2">
      <c r="B13" s="597" t="s">
        <v>239</v>
      </c>
      <c r="C13" s="619"/>
      <c r="D13" s="29" t="s">
        <v>290</v>
      </c>
      <c r="E13" s="29">
        <v>3.29</v>
      </c>
      <c r="F13" s="29" t="s">
        <v>231</v>
      </c>
      <c r="G13" s="29" t="s">
        <v>232</v>
      </c>
      <c r="H13" s="29" t="s">
        <v>231</v>
      </c>
      <c r="I13" s="22"/>
      <c r="K13" s="19"/>
      <c r="L13" s="19"/>
      <c r="M13" s="19"/>
    </row>
    <row r="14" spans="2:13" ht="22.5" customHeight="1" x14ac:dyDescent="0.2">
      <c r="B14" s="597" t="s">
        <v>240</v>
      </c>
      <c r="C14" s="619"/>
      <c r="D14" s="29">
        <f>(3.32+3.26)/2</f>
        <v>3.29</v>
      </c>
      <c r="E14" s="29">
        <v>3.21</v>
      </c>
      <c r="F14" s="29">
        <v>2.86</v>
      </c>
      <c r="G14" s="29">
        <v>3.53</v>
      </c>
      <c r="H14" s="29">
        <v>3.43</v>
      </c>
      <c r="I14" s="22"/>
      <c r="K14" s="19"/>
      <c r="L14" s="19"/>
      <c r="M14" s="19"/>
    </row>
    <row r="15" spans="2:13" ht="22.5" customHeight="1" x14ac:dyDescent="0.2">
      <c r="B15" s="597" t="s">
        <v>241</v>
      </c>
      <c r="C15" s="619"/>
      <c r="D15" s="29">
        <f>(3.4+3.53)/2</f>
        <v>3.4649999999999999</v>
      </c>
      <c r="E15" s="29">
        <v>3.42</v>
      </c>
      <c r="F15" s="29">
        <f>(3.51+3.33)/2</f>
        <v>3.42</v>
      </c>
      <c r="G15" s="29">
        <v>3.58</v>
      </c>
      <c r="H15" s="29">
        <v>3.55</v>
      </c>
      <c r="I15" s="22"/>
      <c r="K15" s="19"/>
      <c r="L15" s="19"/>
      <c r="M15" s="19"/>
    </row>
    <row r="16" spans="2:13" ht="22.5" customHeight="1" x14ac:dyDescent="0.2">
      <c r="B16" s="597" t="s">
        <v>242</v>
      </c>
      <c r="C16" s="619"/>
      <c r="D16" s="29" t="s">
        <v>290</v>
      </c>
      <c r="E16" s="29">
        <v>3.49</v>
      </c>
      <c r="F16" s="29">
        <f>(3.68+3.28)/2</f>
        <v>3.48</v>
      </c>
      <c r="G16" s="29">
        <v>3.67</v>
      </c>
      <c r="H16" s="29">
        <v>3.57</v>
      </c>
      <c r="I16" s="22"/>
      <c r="J16" s="572" t="s">
        <v>228</v>
      </c>
      <c r="K16" s="573"/>
      <c r="L16" s="573"/>
      <c r="M16" s="574"/>
    </row>
    <row r="17" spans="2:13" ht="22.5" customHeight="1" x14ac:dyDescent="0.2">
      <c r="B17" s="597" t="s">
        <v>243</v>
      </c>
      <c r="C17" s="619"/>
      <c r="D17" s="29" t="s">
        <v>290</v>
      </c>
      <c r="E17" s="29">
        <v>3.51</v>
      </c>
      <c r="F17" s="29">
        <f>(3.57+3.22)/2</f>
        <v>3.395</v>
      </c>
      <c r="G17" s="29">
        <v>3.33</v>
      </c>
      <c r="H17" s="29">
        <v>3.57</v>
      </c>
      <c r="I17" s="22"/>
      <c r="J17" s="7"/>
      <c r="K17" s="7"/>
      <c r="L17" s="7"/>
      <c r="M17" s="7"/>
    </row>
    <row r="18" spans="2:13" ht="22.5" customHeight="1" x14ac:dyDescent="0.2">
      <c r="B18" s="597" t="s">
        <v>244</v>
      </c>
      <c r="C18" s="619"/>
      <c r="D18" s="29">
        <f>(3.19+3.16)/2</f>
        <v>3.1749999999999998</v>
      </c>
      <c r="E18" s="29">
        <v>3.15</v>
      </c>
      <c r="F18" s="29">
        <f>(3.21+3.15)/2</f>
        <v>3.1799999999999997</v>
      </c>
      <c r="G18" s="29">
        <v>3.35</v>
      </c>
      <c r="H18" s="29">
        <v>3.17</v>
      </c>
      <c r="I18" s="22"/>
      <c r="J18" s="610" t="s">
        <v>510</v>
      </c>
      <c r="K18" s="560"/>
      <c r="L18" s="560"/>
      <c r="M18" s="561"/>
    </row>
    <row r="19" spans="2:13" ht="22.5" customHeight="1" x14ac:dyDescent="0.2">
      <c r="B19" s="597" t="s">
        <v>245</v>
      </c>
      <c r="C19" s="619"/>
      <c r="D19" s="29">
        <f>(3.58+3.4)/2</f>
        <v>3.49</v>
      </c>
      <c r="E19" s="29">
        <v>3.58</v>
      </c>
      <c r="F19" s="29">
        <f>(3.58+3.27)/2</f>
        <v>3.4249999999999998</v>
      </c>
      <c r="G19" s="29">
        <v>3.47</v>
      </c>
      <c r="H19" s="29">
        <v>3.37</v>
      </c>
      <c r="I19" s="22"/>
      <c r="J19" s="562"/>
      <c r="K19" s="563"/>
      <c r="L19" s="563"/>
      <c r="M19" s="564"/>
    </row>
    <row r="20" spans="2:13" ht="22.5" customHeight="1" x14ac:dyDescent="0.2">
      <c r="B20" s="597" t="s">
        <v>246</v>
      </c>
      <c r="C20" s="619"/>
      <c r="D20" s="29">
        <f>(3.29+3.14)/2</f>
        <v>3.2149999999999999</v>
      </c>
      <c r="E20" s="29">
        <v>3.6</v>
      </c>
      <c r="F20" s="29">
        <f>(3.69+3.55)/2</f>
        <v>3.62</v>
      </c>
      <c r="G20" s="29">
        <v>3.62</v>
      </c>
      <c r="H20" s="29">
        <v>3.63</v>
      </c>
      <c r="I20" s="22"/>
      <c r="J20" s="562"/>
      <c r="K20" s="563"/>
      <c r="L20" s="563"/>
      <c r="M20" s="564"/>
    </row>
    <row r="21" spans="2:13" ht="22.5" customHeight="1" x14ac:dyDescent="0.2">
      <c r="B21" s="597" t="s">
        <v>247</v>
      </c>
      <c r="C21" s="619"/>
      <c r="D21" s="29">
        <f>(3.29+3.44)/2</f>
        <v>3.3650000000000002</v>
      </c>
      <c r="E21" s="29">
        <v>3.48</v>
      </c>
      <c r="F21" s="29">
        <f>(3.48+3.2)/2</f>
        <v>3.34</v>
      </c>
      <c r="G21" s="29">
        <v>3.53</v>
      </c>
      <c r="H21" s="29">
        <v>3.61</v>
      </c>
      <c r="I21" s="22"/>
      <c r="J21" s="562"/>
      <c r="K21" s="563"/>
      <c r="L21" s="563"/>
      <c r="M21" s="564"/>
    </row>
    <row r="22" spans="2:13" ht="22.5" customHeight="1" x14ac:dyDescent="0.2">
      <c r="B22" s="597" t="s">
        <v>248</v>
      </c>
      <c r="C22" s="619"/>
      <c r="D22" s="29">
        <f>(3.54+3.48)/2</f>
        <v>3.51</v>
      </c>
      <c r="E22" s="29">
        <v>3.51</v>
      </c>
      <c r="F22" s="29">
        <f>(3.24+3.65)/2</f>
        <v>3.4450000000000003</v>
      </c>
      <c r="G22" s="29">
        <v>3.56</v>
      </c>
      <c r="H22" s="29">
        <v>3.59</v>
      </c>
      <c r="I22" s="22"/>
      <c r="J22" s="562"/>
      <c r="K22" s="563"/>
      <c r="L22" s="563"/>
      <c r="M22" s="564"/>
    </row>
    <row r="23" spans="2:13" ht="22.5" customHeight="1" x14ac:dyDescent="0.2">
      <c r="B23" s="597" t="s">
        <v>261</v>
      </c>
      <c r="C23" s="597"/>
      <c r="D23" s="29">
        <v>3.1</v>
      </c>
      <c r="E23" s="29">
        <v>3.23</v>
      </c>
      <c r="F23" s="29" t="s">
        <v>311</v>
      </c>
      <c r="G23" s="29">
        <v>3.7</v>
      </c>
      <c r="H23" s="29">
        <v>3.58</v>
      </c>
      <c r="I23" s="22"/>
      <c r="J23" s="562"/>
      <c r="K23" s="563"/>
      <c r="L23" s="563"/>
      <c r="M23" s="564"/>
    </row>
    <row r="24" spans="2:13" ht="22.5" customHeight="1" x14ac:dyDescent="0.2">
      <c r="B24" s="597" t="s">
        <v>292</v>
      </c>
      <c r="C24" s="597"/>
      <c r="D24" s="29">
        <v>3.4</v>
      </c>
      <c r="E24" s="29">
        <v>3.2</v>
      </c>
      <c r="F24" s="29" t="s">
        <v>311</v>
      </c>
      <c r="G24" s="29">
        <v>3.35</v>
      </c>
      <c r="H24" s="29">
        <v>4</v>
      </c>
      <c r="I24" s="22"/>
      <c r="J24" s="562"/>
      <c r="K24" s="563"/>
      <c r="L24" s="563"/>
      <c r="M24" s="564"/>
    </row>
    <row r="25" spans="2:13" ht="22.5" customHeight="1" x14ac:dyDescent="0.2">
      <c r="B25" s="597" t="s">
        <v>275</v>
      </c>
      <c r="C25" s="597"/>
      <c r="D25" s="29">
        <v>3.8</v>
      </c>
      <c r="E25" s="29">
        <v>3.56</v>
      </c>
      <c r="F25" s="29">
        <v>3.95</v>
      </c>
      <c r="G25" s="29">
        <v>3.67</v>
      </c>
      <c r="H25" s="29">
        <v>3.72</v>
      </c>
      <c r="I25" s="22"/>
      <c r="J25" s="562"/>
      <c r="K25" s="563"/>
      <c r="L25" s="563"/>
      <c r="M25" s="564"/>
    </row>
    <row r="26" spans="2:13" ht="22.5" customHeight="1" x14ac:dyDescent="0.2">
      <c r="B26" s="597" t="s">
        <v>264</v>
      </c>
      <c r="C26" s="597"/>
      <c r="D26" s="29">
        <v>2.8</v>
      </c>
      <c r="E26" s="29">
        <v>3.52</v>
      </c>
      <c r="F26" s="29">
        <v>3.47</v>
      </c>
      <c r="G26" s="29" t="s">
        <v>231</v>
      </c>
      <c r="H26" s="29" t="s">
        <v>231</v>
      </c>
      <c r="I26" s="22"/>
      <c r="J26" s="562"/>
      <c r="K26" s="563"/>
      <c r="L26" s="563"/>
      <c r="M26" s="564"/>
    </row>
    <row r="27" spans="2:13" ht="22.5" customHeight="1" x14ac:dyDescent="0.2">
      <c r="B27" s="597" t="s">
        <v>277</v>
      </c>
      <c r="C27" s="597"/>
      <c r="D27" s="29">
        <v>3.17</v>
      </c>
      <c r="E27" s="29">
        <v>3.17</v>
      </c>
      <c r="F27" s="29" t="s">
        <v>311</v>
      </c>
      <c r="G27" s="29">
        <v>2.2999999999999998</v>
      </c>
      <c r="H27" s="29">
        <v>3.11</v>
      </c>
      <c r="I27" s="22"/>
      <c r="J27" s="562"/>
      <c r="K27" s="563"/>
      <c r="L27" s="563"/>
      <c r="M27" s="564"/>
    </row>
    <row r="28" spans="2:13" ht="22.5" customHeight="1" x14ac:dyDescent="0.2">
      <c r="B28" s="597" t="s">
        <v>265</v>
      </c>
      <c r="C28" s="597"/>
      <c r="D28" s="29">
        <v>3</v>
      </c>
      <c r="E28" s="29">
        <v>2.96</v>
      </c>
      <c r="F28" s="29" t="s">
        <v>311</v>
      </c>
      <c r="G28" s="29" t="s">
        <v>311</v>
      </c>
      <c r="H28" s="29" t="s">
        <v>231</v>
      </c>
      <c r="I28" s="22"/>
      <c r="J28" s="562"/>
      <c r="K28" s="563"/>
      <c r="L28" s="563"/>
      <c r="M28" s="564"/>
    </row>
    <row r="29" spans="2:13" ht="22.5" customHeight="1" x14ac:dyDescent="0.2">
      <c r="B29" s="597" t="s">
        <v>279</v>
      </c>
      <c r="C29" s="597"/>
      <c r="D29" s="29">
        <v>3.13</v>
      </c>
      <c r="E29" s="29">
        <v>2.4700000000000002</v>
      </c>
      <c r="F29" s="29" t="s">
        <v>311</v>
      </c>
      <c r="G29" s="29" t="s">
        <v>311</v>
      </c>
      <c r="H29" s="29">
        <v>3.45</v>
      </c>
      <c r="I29" s="22"/>
      <c r="J29" s="562"/>
      <c r="K29" s="563"/>
      <c r="L29" s="563"/>
      <c r="M29" s="564"/>
    </row>
    <row r="30" spans="2:13" ht="22.5" customHeight="1" x14ac:dyDescent="0.2">
      <c r="B30" s="785" t="e">
        <f>D5</f>
        <v>#REF!</v>
      </c>
      <c r="C30" s="785"/>
      <c r="D30" s="327">
        <f>COUNTIF(D12:D29,"&gt;=3")</f>
        <v>14</v>
      </c>
      <c r="E30" s="327">
        <f>COUNTIF(E12:E29,"&gt;=3")</f>
        <v>16</v>
      </c>
      <c r="F30" s="327">
        <f>COUNTIF(F12:F29,"&gt;=3")</f>
        <v>11</v>
      </c>
      <c r="G30" s="327">
        <f>COUNTIF(G12:G29,"&gt;=3")</f>
        <v>13</v>
      </c>
      <c r="H30" s="327">
        <f>COUNTIF(H12:H29,"&gt;=3")</f>
        <v>15</v>
      </c>
      <c r="J30" s="562"/>
      <c r="K30" s="563"/>
      <c r="L30" s="563"/>
      <c r="M30" s="564"/>
    </row>
    <row r="31" spans="2:13" ht="22.5" customHeight="1" x14ac:dyDescent="0.2">
      <c r="B31" s="644" t="s">
        <v>268</v>
      </c>
      <c r="C31" s="644"/>
      <c r="D31" s="48">
        <f>COUNT( D12:D29)</f>
        <v>15</v>
      </c>
      <c r="E31" s="48">
        <f>COUNT( E12:E29)</f>
        <v>18</v>
      </c>
      <c r="F31" s="48">
        <f>COUNT( F12:F29)</f>
        <v>12</v>
      </c>
      <c r="G31" s="328">
        <f>COUNT(G12:G29)</f>
        <v>14</v>
      </c>
      <c r="H31" s="328">
        <f>COUNT(H12:H29)</f>
        <v>15</v>
      </c>
      <c r="J31" s="562"/>
      <c r="K31" s="563"/>
      <c r="L31" s="563"/>
      <c r="M31" s="564"/>
    </row>
    <row r="32" spans="2:13" ht="22.5" customHeight="1" x14ac:dyDescent="0.2">
      <c r="B32" s="43" t="s">
        <v>225</v>
      </c>
      <c r="C32" s="10" t="e">
        <f>$D5</f>
        <v>#REF!</v>
      </c>
      <c r="D32" s="60">
        <v>3</v>
      </c>
      <c r="E32" s="60">
        <v>3</v>
      </c>
      <c r="F32" s="60">
        <v>3</v>
      </c>
      <c r="G32" s="60">
        <v>3</v>
      </c>
      <c r="H32" s="60">
        <v>3</v>
      </c>
      <c r="I32" s="23"/>
      <c r="J32" s="562"/>
      <c r="K32" s="563"/>
      <c r="L32" s="563"/>
      <c r="M32" s="564"/>
    </row>
    <row r="33" spans="2:13" ht="22.5" customHeight="1" x14ac:dyDescent="0.2">
      <c r="B33" s="640" t="s">
        <v>226</v>
      </c>
      <c r="C33" s="706"/>
      <c r="D33" s="50">
        <f>D30/D31</f>
        <v>0.93333333333333335</v>
      </c>
      <c r="E33" s="50">
        <f>E30/E31</f>
        <v>0.88888888888888884</v>
      </c>
      <c r="F33" s="50">
        <f>F30/F31</f>
        <v>0.91666666666666663</v>
      </c>
      <c r="G33" s="50">
        <f>G30/G31</f>
        <v>0.9285714285714286</v>
      </c>
      <c r="H33" s="50">
        <f>H30/H31</f>
        <v>1</v>
      </c>
      <c r="I33" s="24"/>
      <c r="J33" s="565"/>
      <c r="K33" s="566"/>
      <c r="L33" s="566"/>
      <c r="M33" s="567"/>
    </row>
    <row r="34" spans="2:13" ht="22.5" customHeight="1" x14ac:dyDescent="0.25">
      <c r="B34" s="5"/>
      <c r="C34" s="5"/>
      <c r="D34" s="4"/>
      <c r="E34" s="4"/>
      <c r="F34" s="4"/>
      <c r="G34" s="4"/>
      <c r="H34" s="4"/>
      <c r="I34" s="4"/>
      <c r="J34" s="4"/>
    </row>
    <row r="35" spans="2:13" ht="22.5" customHeight="1" x14ac:dyDescent="0.2">
      <c r="B35" s="572" t="s">
        <v>227</v>
      </c>
      <c r="C35" s="573"/>
      <c r="D35" s="573"/>
      <c r="E35" s="574"/>
      <c r="F35" s="6"/>
    </row>
    <row r="36" spans="2:13" ht="22.5" customHeight="1" x14ac:dyDescent="0.2">
      <c r="B36" s="6"/>
      <c r="C36" s="6"/>
      <c r="D36" s="6"/>
      <c r="E36" s="6"/>
      <c r="F36" s="6"/>
    </row>
    <row r="37" spans="2:13" ht="6" customHeight="1" x14ac:dyDescent="0.2">
      <c r="B37" s="6"/>
      <c r="C37" s="6"/>
      <c r="D37" s="6"/>
      <c r="E37" s="6"/>
      <c r="F37" s="6"/>
    </row>
    <row r="38" spans="2:13" ht="19.5" customHeight="1" x14ac:dyDescent="0.2">
      <c r="B38" s="6"/>
      <c r="C38" s="6"/>
      <c r="D38" s="6"/>
      <c r="E38" s="6"/>
      <c r="F38" s="6"/>
    </row>
    <row r="39" spans="2:13" ht="19.5" customHeight="1" x14ac:dyDescent="0.2">
      <c r="B39" s="6"/>
      <c r="C39" s="6"/>
      <c r="D39" s="6"/>
      <c r="E39" s="6"/>
      <c r="F39" s="6"/>
    </row>
    <row r="40" spans="2:13" ht="19.5" customHeight="1" x14ac:dyDescent="0.2">
      <c r="B40" s="6"/>
      <c r="C40" s="6"/>
      <c r="D40" s="6"/>
      <c r="E40" s="6"/>
      <c r="F40" s="6"/>
    </row>
    <row r="41" spans="2:13" ht="19.5" customHeight="1" x14ac:dyDescent="0.2">
      <c r="B41" s="6"/>
      <c r="C41" s="6"/>
      <c r="D41" s="6"/>
      <c r="E41" s="6"/>
      <c r="F41" s="6"/>
    </row>
    <row r="42" spans="2:13" ht="19.5" customHeight="1" x14ac:dyDescent="0.2">
      <c r="B42" s="6"/>
      <c r="C42" s="6"/>
      <c r="D42" s="6"/>
      <c r="E42" s="6"/>
      <c r="F42" s="6"/>
    </row>
    <row r="43" spans="2:13" ht="19.5" customHeight="1" x14ac:dyDescent="0.2">
      <c r="B43" s="6"/>
      <c r="C43" s="6"/>
      <c r="D43" s="6"/>
      <c r="E43" s="6"/>
      <c r="F43" s="6"/>
    </row>
    <row r="44" spans="2:13" ht="19.5" customHeight="1" x14ac:dyDescent="0.2">
      <c r="B44" s="6"/>
      <c r="C44" s="6"/>
      <c r="D44" s="6"/>
      <c r="E44" s="6"/>
      <c r="F44" s="6"/>
    </row>
    <row r="45" spans="2:13" ht="19.5" customHeight="1" x14ac:dyDescent="0.2">
      <c r="B45" s="6"/>
      <c r="C45" s="6"/>
      <c r="D45" s="6"/>
      <c r="E45" s="6"/>
      <c r="F45" s="6"/>
    </row>
    <row r="46" spans="2:13" ht="19.5" customHeight="1" x14ac:dyDescent="0.2"/>
    <row r="47" spans="2:13" ht="19.5" customHeight="1" x14ac:dyDescent="0.2">
      <c r="H47" s="568" t="s">
        <v>169</v>
      </c>
      <c r="I47" s="569"/>
      <c r="J47" s="569"/>
    </row>
  </sheetData>
  <sheetProtection sheet="1" formatCells="0" formatColumns="0" formatRows="0" insertColumns="0" insertRows="0" insertHyperlinks="0" deleteColumns="0" deleteRows="0" pivotTables="0"/>
  <mergeCells count="42">
    <mergeCell ref="B16:C16"/>
    <mergeCell ref="H47:J47"/>
    <mergeCell ref="B31:C31"/>
    <mergeCell ref="B25:C25"/>
    <mergeCell ref="B33:C33"/>
    <mergeCell ref="B35:E35"/>
    <mergeCell ref="J18:M33"/>
    <mergeCell ref="B30:C30"/>
    <mergeCell ref="B20:C20"/>
    <mergeCell ref="B21:C21"/>
    <mergeCell ref="B22:C22"/>
    <mergeCell ref="B23:C23"/>
    <mergeCell ref="B24:C24"/>
    <mergeCell ref="B26:C26"/>
    <mergeCell ref="B27:C27"/>
    <mergeCell ref="B18:C18"/>
    <mergeCell ref="B2:D2"/>
    <mergeCell ref="B5:C5"/>
    <mergeCell ref="D5:E5"/>
    <mergeCell ref="E2:J2"/>
    <mergeCell ref="B4:C4"/>
    <mergeCell ref="D4:E4"/>
    <mergeCell ref="F4:G4"/>
    <mergeCell ref="H4:J4"/>
    <mergeCell ref="F5:G5"/>
    <mergeCell ref="H5:J5"/>
    <mergeCell ref="B28:C28"/>
    <mergeCell ref="B29:C29"/>
    <mergeCell ref="B6:C6"/>
    <mergeCell ref="D6:E6"/>
    <mergeCell ref="F6:G6"/>
    <mergeCell ref="B9:J9"/>
    <mergeCell ref="B7:C7"/>
    <mergeCell ref="D7:J7"/>
    <mergeCell ref="B19:C19"/>
    <mergeCell ref="J16:M16"/>
    <mergeCell ref="B17:C17"/>
    <mergeCell ref="B12:C12"/>
    <mergeCell ref="B13:C13"/>
    <mergeCell ref="B11:C11"/>
    <mergeCell ref="B14:C14"/>
    <mergeCell ref="B15:C15"/>
  </mergeCells>
  <conditionalFormatting sqref="D12:H29">
    <cfRule type="cellIs" dxfId="30" priority="1" operator="less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A2B7-855D-4944-9077-BCFF00D11537}">
  <sheetPr>
    <tabColor theme="9" tint="-0.499984740745262"/>
    <pageSetUpPr fitToPage="1"/>
  </sheetPr>
  <dimension ref="B2:N47"/>
  <sheetViews>
    <sheetView showGridLines="0" topLeftCell="A69" workbookViewId="0">
      <selection activeCell="G77" sqref="G7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/>
    <row r="11" spans="2:10" ht="22.5" customHeight="1" x14ac:dyDescent="0.2">
      <c r="B11" s="786"/>
      <c r="C11" s="786"/>
      <c r="D11" s="89" t="s">
        <v>218</v>
      </c>
      <c r="E11" s="89" t="s">
        <v>219</v>
      </c>
      <c r="F11" s="89" t="s">
        <v>220</v>
      </c>
      <c r="G11" s="89" t="s">
        <v>221</v>
      </c>
      <c r="H11" s="89" t="s">
        <v>222</v>
      </c>
      <c r="I11" s="89" t="s">
        <v>223</v>
      </c>
    </row>
    <row r="12" spans="2:10" ht="22.5" customHeight="1" x14ac:dyDescent="0.2">
      <c r="B12" s="597" t="s">
        <v>238</v>
      </c>
      <c r="C12" s="597"/>
      <c r="D12" s="29">
        <f>(2.63+2.82)/2</f>
        <v>2.7249999999999996</v>
      </c>
      <c r="E12" s="29">
        <f>(2.98+2.88)/2</f>
        <v>2.9299999999999997</v>
      </c>
      <c r="F12" s="29">
        <v>3.05</v>
      </c>
      <c r="G12" s="29">
        <f>(3.05+2.76)/2</f>
        <v>2.9049999999999998</v>
      </c>
      <c r="H12" s="29">
        <v>3.05</v>
      </c>
      <c r="I12" s="29">
        <v>3.05</v>
      </c>
    </row>
    <row r="13" spans="2:10" ht="22.5" customHeight="1" x14ac:dyDescent="0.2">
      <c r="B13" s="597" t="s">
        <v>239</v>
      </c>
      <c r="C13" s="597"/>
      <c r="D13" s="29" t="s">
        <v>290</v>
      </c>
      <c r="E13" s="29" t="s">
        <v>290</v>
      </c>
      <c r="F13" s="29">
        <v>2.94</v>
      </c>
      <c r="G13" s="29" t="s">
        <v>231</v>
      </c>
      <c r="H13" s="29" t="s">
        <v>231</v>
      </c>
      <c r="I13" s="29" t="s">
        <v>231</v>
      </c>
    </row>
    <row r="14" spans="2:10" ht="22.5" customHeight="1" x14ac:dyDescent="0.2">
      <c r="B14" s="597" t="s">
        <v>240</v>
      </c>
      <c r="C14" s="597"/>
      <c r="D14" s="29">
        <f>(2.75+2.96)/2</f>
        <v>2.855</v>
      </c>
      <c r="E14" s="29">
        <f>(3.02+2.96)/2</f>
        <v>2.99</v>
      </c>
      <c r="F14" s="29">
        <v>3.07</v>
      </c>
      <c r="G14" s="29">
        <v>2.33</v>
      </c>
      <c r="H14" s="29">
        <v>3.05</v>
      </c>
      <c r="I14" s="29">
        <v>3.08</v>
      </c>
    </row>
    <row r="15" spans="2:10" ht="22.5" customHeight="1" x14ac:dyDescent="0.2">
      <c r="B15" s="597" t="s">
        <v>241</v>
      </c>
      <c r="C15" s="597"/>
      <c r="D15" s="29">
        <f>(2.48+2.8)/2</f>
        <v>2.6399999999999997</v>
      </c>
      <c r="E15" s="29">
        <f>(2.94+2.98)/2</f>
        <v>2.96</v>
      </c>
      <c r="F15" s="29">
        <v>2.67</v>
      </c>
      <c r="G15" s="29">
        <f>(2.92+3.08)/2</f>
        <v>3</v>
      </c>
      <c r="H15" s="29">
        <v>3.08</v>
      </c>
      <c r="I15" s="29">
        <v>2.97</v>
      </c>
    </row>
    <row r="16" spans="2:10" ht="22.5" customHeight="1" x14ac:dyDescent="0.2">
      <c r="B16" s="597" t="s">
        <v>242</v>
      </c>
      <c r="C16" s="597"/>
      <c r="D16" s="29" t="s">
        <v>290</v>
      </c>
      <c r="E16" s="29" t="s">
        <v>290</v>
      </c>
      <c r="F16" s="29">
        <v>2.82</v>
      </c>
      <c r="G16" s="29">
        <f>(3.19+2.98)/2</f>
        <v>3.085</v>
      </c>
      <c r="H16" s="29">
        <v>2.94</v>
      </c>
      <c r="I16" s="29">
        <v>2.79</v>
      </c>
    </row>
    <row r="17" spans="2:14" ht="22.5" customHeight="1" x14ac:dyDescent="0.2">
      <c r="B17" s="597" t="s">
        <v>243</v>
      </c>
      <c r="C17" s="597"/>
      <c r="D17" s="29" t="s">
        <v>290</v>
      </c>
      <c r="E17" s="29" t="s">
        <v>290</v>
      </c>
      <c r="F17" s="29">
        <v>2.89</v>
      </c>
      <c r="G17" s="29">
        <f>(3.15+2.38)/2</f>
        <v>2.7649999999999997</v>
      </c>
      <c r="H17" s="29">
        <v>2.76</v>
      </c>
      <c r="I17" s="29">
        <v>2.79</v>
      </c>
      <c r="K17" s="19"/>
      <c r="L17" s="19"/>
      <c r="M17" s="19"/>
    </row>
    <row r="18" spans="2:14" ht="22.5" customHeight="1" x14ac:dyDescent="0.2">
      <c r="B18" s="597" t="s">
        <v>244</v>
      </c>
      <c r="C18" s="597"/>
      <c r="D18" s="29">
        <f>(2.81+2.55)/2</f>
        <v>2.6799999999999997</v>
      </c>
      <c r="E18" s="29">
        <f>(2.56+2.81)/2</f>
        <v>2.6850000000000001</v>
      </c>
      <c r="F18" s="29">
        <v>2.81</v>
      </c>
      <c r="G18" s="29">
        <f>(2.9+2.92)/2</f>
        <v>2.91</v>
      </c>
      <c r="H18" s="29">
        <v>3.15</v>
      </c>
      <c r="I18" s="29">
        <v>2.95</v>
      </c>
      <c r="K18" s="19"/>
      <c r="L18" s="19"/>
      <c r="M18" s="19"/>
    </row>
    <row r="19" spans="2:14" ht="22.5" customHeight="1" x14ac:dyDescent="0.2">
      <c r="B19" s="597" t="s">
        <v>245</v>
      </c>
      <c r="C19" s="597"/>
      <c r="D19" s="29" t="s">
        <v>231</v>
      </c>
      <c r="E19" s="29">
        <f>(3.24+3.13)/2</f>
        <v>3.1850000000000001</v>
      </c>
      <c r="F19" s="29">
        <v>3.43</v>
      </c>
      <c r="G19" s="29">
        <f>(3.25+2.89)/2</f>
        <v>3.0700000000000003</v>
      </c>
      <c r="H19" s="29">
        <v>3.09</v>
      </c>
      <c r="I19" s="29">
        <v>3.05</v>
      </c>
      <c r="K19" s="19"/>
      <c r="L19" s="19"/>
      <c r="M19" s="19"/>
    </row>
    <row r="20" spans="2:14" ht="22.5" customHeight="1" x14ac:dyDescent="0.2">
      <c r="B20" s="597" t="s">
        <v>246</v>
      </c>
      <c r="C20" s="597"/>
      <c r="D20" s="29">
        <f>(2.88+2.78)/2</f>
        <v>2.83</v>
      </c>
      <c r="E20" s="29">
        <f>(2.98+3.2)/2</f>
        <v>3.09</v>
      </c>
      <c r="F20" s="29">
        <v>3.05</v>
      </c>
      <c r="G20" s="29">
        <f>(3.35+3.12)/2</f>
        <v>3.2350000000000003</v>
      </c>
      <c r="H20" s="29">
        <v>3.05</v>
      </c>
      <c r="I20" s="29">
        <v>3.27</v>
      </c>
      <c r="K20" s="19"/>
      <c r="L20" s="19"/>
      <c r="M20" s="19"/>
    </row>
    <row r="21" spans="2:14" ht="22.5" customHeight="1" x14ac:dyDescent="0.2">
      <c r="B21" s="597" t="s">
        <v>247</v>
      </c>
      <c r="C21" s="597"/>
      <c r="D21" s="29">
        <f>(2.74+2.82)/2</f>
        <v>2.7800000000000002</v>
      </c>
      <c r="E21" s="29">
        <f>(3.02+2.95)/2</f>
        <v>2.9850000000000003</v>
      </c>
      <c r="F21" s="29">
        <v>2.97</v>
      </c>
      <c r="G21" s="29">
        <f>(3.11+2.75)/2</f>
        <v>2.9299999999999997</v>
      </c>
      <c r="H21" s="29">
        <v>3.2</v>
      </c>
      <c r="I21" s="29">
        <v>3.22</v>
      </c>
      <c r="K21" s="19"/>
      <c r="L21" s="19"/>
      <c r="M21" s="19"/>
    </row>
    <row r="22" spans="2:14" ht="22.5" customHeight="1" x14ac:dyDescent="0.2">
      <c r="B22" s="597" t="s">
        <v>261</v>
      </c>
      <c r="C22" s="597"/>
      <c r="D22" s="29">
        <f>(3.44+2.33)/2</f>
        <v>2.8849999999999998</v>
      </c>
      <c r="E22" s="29">
        <f>(3.33+2.86)/2</f>
        <v>3.0949999999999998</v>
      </c>
      <c r="F22" s="29">
        <v>2.95</v>
      </c>
      <c r="G22" s="29" t="s">
        <v>290</v>
      </c>
      <c r="H22" s="29">
        <v>3.48</v>
      </c>
      <c r="I22" s="29">
        <v>3.37</v>
      </c>
      <c r="K22" s="19"/>
      <c r="L22" s="19"/>
      <c r="M22" s="19"/>
    </row>
    <row r="23" spans="2:14" ht="22.5" customHeight="1" x14ac:dyDescent="0.2">
      <c r="B23" s="597" t="s">
        <v>292</v>
      </c>
      <c r="C23" s="597"/>
      <c r="D23" s="29">
        <v>3.45</v>
      </c>
      <c r="E23" s="29">
        <f>(2.76+3.3)/2</f>
        <v>3.03</v>
      </c>
      <c r="F23" s="29">
        <v>2.87</v>
      </c>
      <c r="G23" s="29">
        <v>3.21</v>
      </c>
      <c r="H23" s="29">
        <v>2.56</v>
      </c>
      <c r="I23" s="29">
        <v>4</v>
      </c>
      <c r="K23" s="19"/>
      <c r="L23" s="19"/>
      <c r="M23" s="19"/>
    </row>
    <row r="24" spans="2:14" ht="22.5" customHeight="1" x14ac:dyDescent="0.2">
      <c r="B24" s="597" t="s">
        <v>275</v>
      </c>
      <c r="C24" s="597"/>
      <c r="D24" s="29">
        <f>(1.88+3.13)/2</f>
        <v>2.5049999999999999</v>
      </c>
      <c r="E24" s="29">
        <f>(3.55+3.17)/2</f>
        <v>3.36</v>
      </c>
      <c r="F24" s="29">
        <v>3.39</v>
      </c>
      <c r="G24" s="29">
        <f>(4+3.42)/2</f>
        <v>3.71</v>
      </c>
      <c r="H24" s="29">
        <v>3.5</v>
      </c>
      <c r="I24" s="29">
        <v>3.55</v>
      </c>
      <c r="K24" s="19"/>
      <c r="L24" s="19"/>
      <c r="M24" s="19"/>
    </row>
    <row r="25" spans="2:14" ht="22.5" customHeight="1" x14ac:dyDescent="0.2">
      <c r="B25" s="597" t="s">
        <v>264</v>
      </c>
      <c r="C25" s="597"/>
      <c r="D25" s="29" t="s">
        <v>290</v>
      </c>
      <c r="E25" s="29">
        <v>2.8</v>
      </c>
      <c r="F25" s="29">
        <v>3.32</v>
      </c>
      <c r="G25" s="29">
        <v>2.83</v>
      </c>
      <c r="H25" s="29" t="s">
        <v>231</v>
      </c>
      <c r="I25" s="29" t="s">
        <v>231</v>
      </c>
      <c r="K25" s="19"/>
      <c r="L25" s="19"/>
      <c r="M25" s="19"/>
    </row>
    <row r="26" spans="2:14" ht="22.5" customHeight="1" x14ac:dyDescent="0.2">
      <c r="B26" s="597" t="s">
        <v>277</v>
      </c>
      <c r="C26" s="597"/>
      <c r="D26" s="29" t="s">
        <v>290</v>
      </c>
      <c r="E26" s="29">
        <f>(2.86+2.5)/2</f>
        <v>2.6799999999999997</v>
      </c>
      <c r="F26" s="29">
        <v>3.04</v>
      </c>
      <c r="G26" s="29" t="s">
        <v>231</v>
      </c>
      <c r="H26" s="29">
        <v>2.4</v>
      </c>
      <c r="I26" s="29">
        <v>3.01</v>
      </c>
      <c r="K26" s="68" t="s">
        <v>228</v>
      </c>
      <c r="L26" s="140"/>
      <c r="M26" s="140"/>
      <c r="N26" s="204"/>
    </row>
    <row r="27" spans="2:14" ht="22.5" customHeight="1" x14ac:dyDescent="0.2">
      <c r="B27" s="597" t="s">
        <v>265</v>
      </c>
      <c r="C27" s="597"/>
      <c r="D27" s="29" t="s">
        <v>290</v>
      </c>
      <c r="E27" s="29">
        <v>3.6</v>
      </c>
      <c r="F27" s="29">
        <v>3.25</v>
      </c>
      <c r="G27" s="29" t="s">
        <v>231</v>
      </c>
      <c r="H27" s="29" t="s">
        <v>231</v>
      </c>
      <c r="I27" s="29" t="s">
        <v>231</v>
      </c>
      <c r="K27" s="7"/>
      <c r="L27" s="7"/>
      <c r="M27" s="7"/>
      <c r="N27" s="7"/>
    </row>
    <row r="28" spans="2:14" ht="22.5" customHeight="1" x14ac:dyDescent="0.2">
      <c r="B28" s="597" t="s">
        <v>279</v>
      </c>
      <c r="C28" s="597"/>
      <c r="D28" s="29">
        <f>(3+2.89)/2</f>
        <v>2.9450000000000003</v>
      </c>
      <c r="E28" s="29">
        <f>(3.02+2.95)/2</f>
        <v>2.9850000000000003</v>
      </c>
      <c r="F28" s="29">
        <v>2.74</v>
      </c>
      <c r="G28" s="29" t="s">
        <v>231</v>
      </c>
      <c r="H28" s="29" t="s">
        <v>231</v>
      </c>
      <c r="I28" s="29">
        <v>3.04</v>
      </c>
      <c r="K28" s="610" t="s">
        <v>510</v>
      </c>
      <c r="L28" s="560"/>
      <c r="M28" s="560"/>
      <c r="N28" s="561"/>
    </row>
    <row r="29" spans="2:14" ht="22.5" customHeight="1" x14ac:dyDescent="0.2">
      <c r="B29" s="597" t="s">
        <v>248</v>
      </c>
      <c r="C29" s="597"/>
      <c r="D29" s="29">
        <f>(2.58+2.88)/2</f>
        <v>2.73</v>
      </c>
      <c r="E29" s="29">
        <v>3.11</v>
      </c>
      <c r="F29" s="29">
        <v>3.09</v>
      </c>
      <c r="G29" s="29">
        <f>(2.94+3.04)/2</f>
        <v>2.99</v>
      </c>
      <c r="H29" s="29">
        <v>3.11</v>
      </c>
      <c r="I29" s="29" t="s">
        <v>231</v>
      </c>
      <c r="K29" s="562"/>
      <c r="L29" s="563"/>
      <c r="M29" s="563"/>
      <c r="N29" s="564"/>
    </row>
    <row r="30" spans="2:14" ht="22.5" customHeight="1" x14ac:dyDescent="0.2">
      <c r="B30" s="785" t="e">
        <f>D5</f>
        <v>#REF!</v>
      </c>
      <c r="C30" s="785"/>
      <c r="D30" s="49">
        <f>COUNTIF(D12:D29,"&gt;=3")</f>
        <v>1</v>
      </c>
      <c r="E30" s="49">
        <f t="shared" ref="E30:G30" si="0">COUNTIF(E12:E29,"&gt;=3")</f>
        <v>7</v>
      </c>
      <c r="F30" s="49">
        <f t="shared" si="0"/>
        <v>9</v>
      </c>
      <c r="G30" s="49">
        <f t="shared" si="0"/>
        <v>6</v>
      </c>
      <c r="H30" s="49">
        <f>COUNTIF(H12:H29,"&gt;=3")</f>
        <v>10</v>
      </c>
      <c r="I30" s="49">
        <f>COUNTIF(I12:I29,"&gt;=3")</f>
        <v>10</v>
      </c>
      <c r="K30" s="562"/>
      <c r="L30" s="563"/>
      <c r="M30" s="563"/>
      <c r="N30" s="564"/>
    </row>
    <row r="31" spans="2:14" ht="22.5" customHeight="1" x14ac:dyDescent="0.2">
      <c r="B31" s="644" t="s">
        <v>268</v>
      </c>
      <c r="C31" s="644"/>
      <c r="D31" s="49">
        <f>COUNT( D12:D29)</f>
        <v>11</v>
      </c>
      <c r="E31" s="49">
        <f>COUNT( E12:E29)</f>
        <v>15</v>
      </c>
      <c r="F31" s="49">
        <f>COUNT( F12:F29)</f>
        <v>18</v>
      </c>
      <c r="G31" s="49">
        <f>COUNT( G12:G29)</f>
        <v>13</v>
      </c>
      <c r="H31" s="49">
        <f>COUNT(H12:H29)</f>
        <v>14</v>
      </c>
      <c r="I31" s="49">
        <f>COUNT(I12:I29)</f>
        <v>14</v>
      </c>
      <c r="K31" s="562"/>
      <c r="L31" s="563"/>
      <c r="M31" s="563"/>
      <c r="N31" s="564"/>
    </row>
    <row r="32" spans="2:14" ht="22.5" customHeight="1" x14ac:dyDescent="0.2">
      <c r="B32" s="43" t="s">
        <v>225</v>
      </c>
      <c r="C32" s="10" t="e">
        <f>#REF!</f>
        <v>#REF!</v>
      </c>
      <c r="D32" s="60">
        <v>3</v>
      </c>
      <c r="E32" s="60">
        <v>3</v>
      </c>
      <c r="F32" s="60">
        <v>3</v>
      </c>
      <c r="G32" s="60">
        <v>3</v>
      </c>
      <c r="H32" s="60">
        <v>3</v>
      </c>
      <c r="I32" s="60">
        <v>3</v>
      </c>
      <c r="K32" s="562"/>
      <c r="L32" s="563"/>
      <c r="M32" s="563"/>
      <c r="N32" s="564"/>
    </row>
    <row r="33" spans="2:14" ht="22.5" customHeight="1" x14ac:dyDescent="0.2">
      <c r="B33" s="640" t="s">
        <v>226</v>
      </c>
      <c r="C33" s="706"/>
      <c r="D33" s="50">
        <f t="shared" ref="D33:I33" si="1">D30/D31</f>
        <v>9.0909090909090912E-2</v>
      </c>
      <c r="E33" s="50">
        <f t="shared" si="1"/>
        <v>0.46666666666666667</v>
      </c>
      <c r="F33" s="50">
        <f t="shared" si="1"/>
        <v>0.5</v>
      </c>
      <c r="G33" s="50">
        <f t="shared" si="1"/>
        <v>0.46153846153846156</v>
      </c>
      <c r="H33" s="50">
        <f t="shared" si="1"/>
        <v>0.7142857142857143</v>
      </c>
      <c r="I33" s="50">
        <f t="shared" si="1"/>
        <v>0.7142857142857143</v>
      </c>
      <c r="K33" s="562"/>
      <c r="L33" s="563"/>
      <c r="M33" s="563"/>
      <c r="N33" s="564"/>
    </row>
    <row r="34" spans="2:14" ht="22.5" customHeight="1" x14ac:dyDescent="0.25">
      <c r="B34" s="5"/>
      <c r="C34" s="5"/>
      <c r="D34" s="4"/>
      <c r="E34" s="4"/>
      <c r="F34" s="4"/>
      <c r="G34" s="4"/>
      <c r="H34" s="4"/>
      <c r="I34" s="4"/>
      <c r="K34" s="562"/>
      <c r="L34" s="563"/>
      <c r="M34" s="563"/>
      <c r="N34" s="564"/>
    </row>
    <row r="35" spans="2:14" ht="22.5" customHeight="1" x14ac:dyDescent="0.2">
      <c r="B35" s="572" t="s">
        <v>227</v>
      </c>
      <c r="C35" s="573"/>
      <c r="D35" s="573"/>
      <c r="E35" s="574"/>
      <c r="F35" s="6"/>
      <c r="K35" s="562"/>
      <c r="L35" s="563"/>
      <c r="M35" s="563"/>
      <c r="N35" s="564"/>
    </row>
    <row r="36" spans="2:14" ht="22.5" customHeight="1" x14ac:dyDescent="0.2">
      <c r="B36" s="6"/>
      <c r="C36" s="6"/>
      <c r="D36" s="6"/>
      <c r="E36" s="6"/>
      <c r="F36" s="6"/>
      <c r="K36" s="565"/>
      <c r="L36" s="566"/>
      <c r="M36" s="566"/>
      <c r="N36" s="567"/>
    </row>
    <row r="37" spans="2:14" ht="6" customHeight="1" x14ac:dyDescent="0.2">
      <c r="B37" s="6"/>
      <c r="C37" s="6"/>
      <c r="D37" s="6"/>
      <c r="E37" s="6"/>
      <c r="F37" s="6"/>
    </row>
    <row r="38" spans="2:14" ht="19.5" customHeight="1" x14ac:dyDescent="0.2">
      <c r="B38" s="6"/>
      <c r="C38" s="6"/>
      <c r="D38" s="6"/>
      <c r="E38" s="6"/>
      <c r="F38" s="6"/>
    </row>
    <row r="39" spans="2:14" ht="19.5" customHeight="1" x14ac:dyDescent="0.2">
      <c r="B39" s="6"/>
      <c r="C39" s="6"/>
      <c r="D39" s="6"/>
      <c r="E39" s="6"/>
      <c r="F39" s="6"/>
    </row>
    <row r="40" spans="2:14" ht="19.5" customHeight="1" x14ac:dyDescent="0.2">
      <c r="B40" s="6"/>
      <c r="C40" s="6"/>
      <c r="D40" s="6"/>
      <c r="E40" s="6"/>
      <c r="F40" s="6"/>
    </row>
    <row r="41" spans="2:14" ht="19.5" customHeight="1" x14ac:dyDescent="0.2">
      <c r="B41" s="6"/>
      <c r="C41" s="6"/>
      <c r="D41" s="6"/>
      <c r="E41" s="6"/>
      <c r="F41" s="6"/>
    </row>
    <row r="42" spans="2:14" ht="19.5" customHeight="1" x14ac:dyDescent="0.2">
      <c r="B42" s="6"/>
      <c r="C42" s="6"/>
      <c r="D42" s="6"/>
      <c r="E42" s="6"/>
      <c r="F42" s="6"/>
    </row>
    <row r="43" spans="2:14" ht="19.5" customHeight="1" x14ac:dyDescent="0.2">
      <c r="B43" s="6"/>
      <c r="C43" s="6"/>
      <c r="D43" s="6"/>
      <c r="E43" s="6"/>
      <c r="F43" s="6"/>
    </row>
    <row r="44" spans="2:14" ht="19.5" customHeight="1" x14ac:dyDescent="0.2">
      <c r="B44" s="6"/>
      <c r="C44" s="6"/>
      <c r="D44" s="6"/>
      <c r="E44" s="6"/>
      <c r="F44" s="6"/>
    </row>
    <row r="45" spans="2:14" ht="19.5" customHeight="1" x14ac:dyDescent="0.2">
      <c r="B45" s="6"/>
      <c r="C45" s="6"/>
      <c r="D45" s="6"/>
      <c r="E45" s="6"/>
      <c r="F45" s="6"/>
    </row>
    <row r="46" spans="2:14" ht="19.5" customHeight="1" x14ac:dyDescent="0.2"/>
    <row r="47" spans="2:14" ht="19.5" customHeight="1" x14ac:dyDescent="0.2">
      <c r="H47" s="568" t="s">
        <v>169</v>
      </c>
      <c r="I47" s="569"/>
      <c r="J47" s="569"/>
    </row>
  </sheetData>
  <sheetProtection sheet="1" formatCells="0" formatColumns="0" formatRows="0" insertColumns="0" insertRows="0" insertHyperlinks="0" deleteColumns="0" deleteRows="0" pivotTables="0"/>
  <mergeCells count="41">
    <mergeCell ref="B13:C13"/>
    <mergeCell ref="B14:C14"/>
    <mergeCell ref="B15:C15"/>
    <mergeCell ref="B2:D2"/>
    <mergeCell ref="E2:J2"/>
    <mergeCell ref="B4:C4"/>
    <mergeCell ref="D4:E4"/>
    <mergeCell ref="F4:G4"/>
    <mergeCell ref="H4:J4"/>
    <mergeCell ref="B18:C18"/>
    <mergeCell ref="B19:C19"/>
    <mergeCell ref="B20:C20"/>
    <mergeCell ref="K28:N36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B29:C29"/>
    <mergeCell ref="B9:J9"/>
    <mergeCell ref="B12:C12"/>
    <mergeCell ref="B21:C21"/>
    <mergeCell ref="H47:J47"/>
    <mergeCell ref="B11:C1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3:C33"/>
    <mergeCell ref="B35:E35"/>
    <mergeCell ref="B16:C16"/>
    <mergeCell ref="B17:C17"/>
  </mergeCells>
  <conditionalFormatting sqref="D12:I29">
    <cfRule type="cellIs" dxfId="29" priority="1" operator="less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C94E-E75C-413B-B488-0F3A0F724A0F}">
  <sheetPr>
    <tabColor theme="9" tint="-0.499984740745262"/>
    <pageSetUpPr fitToPage="1"/>
  </sheetPr>
  <dimension ref="B2:J32"/>
  <sheetViews>
    <sheetView showGridLines="0" topLeftCell="A26" zoomScale="124" zoomScaleNormal="124" workbookViewId="0">
      <selection activeCell="F35" sqref="F35"/>
    </sheetView>
  </sheetViews>
  <sheetFormatPr defaultColWidth="12.5703125" defaultRowHeight="15.75" customHeight="1" x14ac:dyDescent="0.2"/>
  <cols>
    <col min="1" max="1" width="3.42578125" customWidth="1"/>
    <col min="2" max="2" width="16.7109375" bestFit="1" customWidth="1"/>
    <col min="3" max="3" width="12.5703125" customWidth="1"/>
    <col min="4" max="4" width="17.28515625" bestFit="1" customWidth="1"/>
    <col min="5" max="5" width="12.5703125" customWidth="1"/>
    <col min="6" max="6" width="16.7109375" customWidth="1"/>
    <col min="7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810" t="s">
        <v>212</v>
      </c>
      <c r="I5" s="611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11" t="e">
        <f>#REF!</f>
        <v>#REF!</v>
      </c>
      <c r="I6" s="38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C11" s="98" t="s">
        <v>219</v>
      </c>
      <c r="D11" s="98" t="s">
        <v>220</v>
      </c>
      <c r="E11" s="98" t="s">
        <v>221</v>
      </c>
      <c r="F11" s="98" t="s">
        <v>222</v>
      </c>
      <c r="G11" s="98" t="s">
        <v>223</v>
      </c>
      <c r="H11" s="11"/>
      <c r="I11" s="11"/>
      <c r="J11" s="11"/>
    </row>
    <row r="12" spans="2:10" ht="39" customHeight="1" thickBot="1" x14ac:dyDescent="0.3">
      <c r="B12" s="243" t="s">
        <v>511</v>
      </c>
      <c r="C12" s="165">
        <v>3555</v>
      </c>
      <c r="D12" s="166">
        <v>3073</v>
      </c>
      <c r="E12" s="166">
        <v>3361</v>
      </c>
      <c r="F12" s="166">
        <v>2839</v>
      </c>
      <c r="G12" s="166">
        <v>4644</v>
      </c>
      <c r="H12" s="11"/>
      <c r="I12" s="11"/>
      <c r="J12" s="11"/>
    </row>
    <row r="13" spans="2:10" ht="22.5" customHeight="1" x14ac:dyDescent="0.2">
      <c r="B13" s="222" t="s">
        <v>512</v>
      </c>
      <c r="C13" s="10">
        <v>2000</v>
      </c>
      <c r="D13" s="10">
        <v>2000</v>
      </c>
      <c r="E13" s="10">
        <v>2000</v>
      </c>
      <c r="F13" s="10">
        <v>2000</v>
      </c>
      <c r="G13" s="10">
        <v>2000</v>
      </c>
      <c r="H13" s="11"/>
      <c r="I13" s="11"/>
      <c r="J13" s="11"/>
    </row>
    <row r="14" spans="2:10" ht="22.5" customHeight="1" x14ac:dyDescent="0.2">
      <c r="B14" s="222" t="s">
        <v>234</v>
      </c>
      <c r="C14" s="130">
        <v>1</v>
      </c>
      <c r="D14" s="130">
        <v>1</v>
      </c>
      <c r="E14" s="130">
        <v>1</v>
      </c>
      <c r="F14" s="130">
        <v>1</v>
      </c>
      <c r="G14" s="130">
        <v>1</v>
      </c>
      <c r="H14" s="11"/>
      <c r="I14" s="11"/>
      <c r="J14" s="11"/>
    </row>
    <row r="20" spans="2:10" ht="22.5" customHeight="1" x14ac:dyDescent="0.2">
      <c r="B20" s="572" t="s">
        <v>227</v>
      </c>
      <c r="C20" s="573"/>
      <c r="D20" s="573"/>
      <c r="E20" s="574"/>
      <c r="F20" s="19"/>
      <c r="G20" s="646" t="s">
        <v>228</v>
      </c>
      <c r="H20" s="573"/>
      <c r="I20" s="573"/>
      <c r="J20" s="574"/>
    </row>
    <row r="21" spans="2:10" ht="22.5" customHeight="1" x14ac:dyDescent="0.2">
      <c r="B21" s="6"/>
      <c r="C21" s="6"/>
      <c r="D21" s="6"/>
      <c r="E21" s="6"/>
      <c r="F21" s="6"/>
      <c r="G21" s="7"/>
      <c r="H21" s="7"/>
      <c r="I21" s="7"/>
      <c r="J21" s="7"/>
    </row>
    <row r="22" spans="2:10" ht="6" customHeight="1" x14ac:dyDescent="0.2">
      <c r="B22" s="6"/>
      <c r="C22" s="6"/>
      <c r="D22" s="6"/>
      <c r="E22" s="6"/>
      <c r="F22" s="6"/>
      <c r="G22" s="559" t="s">
        <v>169</v>
      </c>
      <c r="H22" s="560"/>
      <c r="I22" s="560"/>
      <c r="J22" s="561"/>
    </row>
    <row r="23" spans="2:10" ht="19.5" customHeight="1" x14ac:dyDescent="0.2">
      <c r="B23" s="6"/>
      <c r="C23" s="6"/>
      <c r="D23" s="6"/>
      <c r="E23" s="6"/>
      <c r="F23" s="6"/>
      <c r="G23" s="562"/>
      <c r="H23" s="563"/>
      <c r="I23" s="563"/>
      <c r="J23" s="564"/>
    </row>
    <row r="24" spans="2:10" ht="19.5" customHeight="1" x14ac:dyDescent="0.2">
      <c r="B24" s="6"/>
      <c r="C24" s="6"/>
      <c r="D24" s="6"/>
      <c r="E24" s="6"/>
      <c r="F24" s="6"/>
      <c r="G24" s="562"/>
      <c r="H24" s="563"/>
      <c r="I24" s="563"/>
      <c r="J24" s="564"/>
    </row>
    <row r="25" spans="2:10" ht="19.5" customHeight="1" x14ac:dyDescent="0.2">
      <c r="B25" s="6"/>
      <c r="C25" s="6"/>
      <c r="D25" s="6"/>
      <c r="E25" s="6"/>
      <c r="F25" s="6"/>
      <c r="G25" s="562"/>
      <c r="H25" s="563"/>
      <c r="I25" s="563"/>
      <c r="J25" s="564"/>
    </row>
    <row r="26" spans="2:10" ht="19.5" customHeight="1" x14ac:dyDescent="0.2">
      <c r="B26" s="6"/>
      <c r="C26" s="6"/>
      <c r="D26" s="6"/>
      <c r="E26" s="6"/>
      <c r="F26" s="6"/>
      <c r="G26" s="562"/>
      <c r="H26" s="563"/>
      <c r="I26" s="563"/>
      <c r="J26" s="564"/>
    </row>
    <row r="27" spans="2:10" ht="19.5" customHeight="1" x14ac:dyDescent="0.2">
      <c r="B27" s="6"/>
      <c r="C27" s="6"/>
      <c r="D27" s="6"/>
      <c r="E27" s="6"/>
      <c r="F27" s="6"/>
      <c r="G27" s="562"/>
      <c r="H27" s="563"/>
      <c r="I27" s="563"/>
      <c r="J27" s="564"/>
    </row>
    <row r="28" spans="2:10" ht="19.5" customHeight="1" x14ac:dyDescent="0.2">
      <c r="B28" s="6"/>
      <c r="C28" s="6"/>
      <c r="D28" s="6"/>
      <c r="E28" s="6"/>
      <c r="F28" s="6"/>
      <c r="G28" s="562"/>
      <c r="H28" s="563"/>
      <c r="I28" s="563"/>
      <c r="J28" s="564"/>
    </row>
    <row r="29" spans="2:10" ht="19.5" customHeight="1" x14ac:dyDescent="0.2">
      <c r="B29" s="6"/>
      <c r="C29" s="6"/>
      <c r="D29" s="6"/>
      <c r="E29" s="6"/>
      <c r="F29" s="6"/>
      <c r="G29" s="562"/>
      <c r="H29" s="563"/>
      <c r="I29" s="563"/>
      <c r="J29" s="564"/>
    </row>
    <row r="30" spans="2:10" ht="19.5" customHeight="1" x14ac:dyDescent="0.2">
      <c r="B30" s="6"/>
      <c r="C30" s="6"/>
      <c r="D30" s="6"/>
      <c r="E30" s="6"/>
      <c r="F30" s="6"/>
      <c r="G30" s="565"/>
      <c r="H30" s="566"/>
      <c r="I30" s="566"/>
      <c r="J30" s="567"/>
    </row>
    <row r="31" spans="2:10" ht="19.5" customHeight="1" x14ac:dyDescent="0.2"/>
    <row r="32" spans="2:10" ht="19.5" customHeight="1" x14ac:dyDescent="0.2">
      <c r="H32" s="568" t="s">
        <v>169</v>
      </c>
      <c r="I32" s="569"/>
      <c r="J32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32:J32"/>
    <mergeCell ref="B7:C7"/>
    <mergeCell ref="D7:J7"/>
    <mergeCell ref="B9:J9"/>
    <mergeCell ref="B20:E20"/>
    <mergeCell ref="G20:J20"/>
    <mergeCell ref="G22:J30"/>
  </mergeCells>
  <pageMargins left="0.7" right="0.7" top="0.75" bottom="0.75" header="0" footer="0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789DA-1692-4A26-A413-026684010DEC}">
  <sheetPr>
    <tabColor theme="9" tint="-0.499984740745262"/>
    <pageSetUpPr fitToPage="1"/>
  </sheetPr>
  <dimension ref="B2:J32"/>
  <sheetViews>
    <sheetView showGridLines="0" topLeftCell="A15" zoomScale="124" zoomScaleNormal="124" workbookViewId="0">
      <selection activeCell="G22" sqref="G22:J30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810" t="s">
        <v>230</v>
      </c>
      <c r="I5" s="611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11" t="e">
        <f>#REF!</f>
        <v>#REF!</v>
      </c>
      <c r="I6" s="38"/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C11" s="98" t="s">
        <v>219</v>
      </c>
      <c r="D11" s="98" t="s">
        <v>220</v>
      </c>
      <c r="E11" s="98" t="s">
        <v>221</v>
      </c>
      <c r="F11" s="98" t="s">
        <v>222</v>
      </c>
      <c r="G11" s="98" t="s">
        <v>223</v>
      </c>
      <c r="H11" s="98" t="s">
        <v>281</v>
      </c>
      <c r="I11" s="11"/>
      <c r="J11" s="11"/>
    </row>
    <row r="12" spans="2:10" ht="22.5" customHeight="1" x14ac:dyDescent="0.2">
      <c r="B12" s="121" t="s">
        <v>513</v>
      </c>
      <c r="C12" s="221" t="s">
        <v>231</v>
      </c>
      <c r="D12" s="221" t="s">
        <v>231</v>
      </c>
      <c r="E12" s="221" t="s">
        <v>231</v>
      </c>
      <c r="F12" s="221">
        <v>0</v>
      </c>
      <c r="G12" s="221">
        <v>2</v>
      </c>
      <c r="H12" s="10">
        <v>2</v>
      </c>
      <c r="I12" s="11"/>
      <c r="J12" s="11"/>
    </row>
    <row r="13" spans="2:10" ht="22.5" customHeight="1" x14ac:dyDescent="0.2">
      <c r="B13" s="222" t="s">
        <v>512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1"/>
      <c r="J13" s="11"/>
    </row>
    <row r="14" spans="2:10" ht="22.5" customHeight="1" x14ac:dyDescent="0.2">
      <c r="B14" s="222" t="s">
        <v>234</v>
      </c>
      <c r="C14" s="223" t="s">
        <v>514</v>
      </c>
      <c r="D14" s="223" t="s">
        <v>231</v>
      </c>
      <c r="E14" s="223">
        <f t="shared" ref="E14" si="0">F12/F13</f>
        <v>0</v>
      </c>
      <c r="F14" s="223">
        <f>F12/F13</f>
        <v>0</v>
      </c>
      <c r="G14" s="223">
        <f>G12/G13</f>
        <v>2</v>
      </c>
      <c r="H14" s="223">
        <f>H12/H13</f>
        <v>2</v>
      </c>
      <c r="I14" s="11"/>
      <c r="J14" s="11"/>
    </row>
    <row r="20" spans="2:10" ht="22.5" customHeight="1" x14ac:dyDescent="0.2">
      <c r="B20" s="572" t="s">
        <v>227</v>
      </c>
      <c r="C20" s="573"/>
      <c r="D20" s="573"/>
      <c r="E20" s="574"/>
      <c r="F20" s="19"/>
      <c r="G20" s="646" t="s">
        <v>228</v>
      </c>
      <c r="H20" s="573"/>
      <c r="I20" s="573"/>
      <c r="J20" s="574"/>
    </row>
    <row r="21" spans="2:10" ht="22.5" customHeight="1" x14ac:dyDescent="0.2">
      <c r="B21" s="6"/>
      <c r="C21" s="6"/>
      <c r="D21" s="6"/>
      <c r="E21" s="6"/>
      <c r="F21" s="6"/>
      <c r="G21" s="7"/>
      <c r="H21" s="7"/>
      <c r="I21" s="7"/>
      <c r="J21" s="7"/>
    </row>
    <row r="22" spans="2:10" ht="6" customHeight="1" x14ac:dyDescent="0.2">
      <c r="B22" s="6"/>
      <c r="C22" s="6"/>
      <c r="D22" s="6"/>
      <c r="E22" s="6"/>
      <c r="F22" s="6"/>
      <c r="G22" s="610" t="s">
        <v>515</v>
      </c>
      <c r="H22" s="560"/>
      <c r="I22" s="560"/>
      <c r="J22" s="561"/>
    </row>
    <row r="23" spans="2:10" ht="19.5" customHeight="1" x14ac:dyDescent="0.2">
      <c r="B23" s="6"/>
      <c r="C23" s="6"/>
      <c r="D23" s="6"/>
      <c r="E23" s="6"/>
      <c r="F23" s="6"/>
      <c r="G23" s="562"/>
      <c r="H23" s="563"/>
      <c r="I23" s="563"/>
      <c r="J23" s="564"/>
    </row>
    <row r="24" spans="2:10" ht="19.5" customHeight="1" x14ac:dyDescent="0.2">
      <c r="B24" s="6"/>
      <c r="C24" s="6"/>
      <c r="D24" s="6"/>
      <c r="E24" s="6"/>
      <c r="F24" s="6"/>
      <c r="G24" s="562"/>
      <c r="H24" s="563"/>
      <c r="I24" s="563"/>
      <c r="J24" s="564"/>
    </row>
    <row r="25" spans="2:10" ht="19.5" customHeight="1" x14ac:dyDescent="0.2">
      <c r="B25" s="6"/>
      <c r="C25" s="6"/>
      <c r="D25" s="6"/>
      <c r="E25" s="6"/>
      <c r="F25" s="6"/>
      <c r="G25" s="562"/>
      <c r="H25" s="563"/>
      <c r="I25" s="563"/>
      <c r="J25" s="564"/>
    </row>
    <row r="26" spans="2:10" ht="19.5" customHeight="1" x14ac:dyDescent="0.2">
      <c r="B26" s="6"/>
      <c r="C26" s="6"/>
      <c r="D26" s="6"/>
      <c r="E26" s="6"/>
      <c r="F26" s="6"/>
      <c r="G26" s="562"/>
      <c r="H26" s="563"/>
      <c r="I26" s="563"/>
      <c r="J26" s="564"/>
    </row>
    <row r="27" spans="2:10" ht="19.5" customHeight="1" x14ac:dyDescent="0.2">
      <c r="B27" s="6"/>
      <c r="C27" s="6"/>
      <c r="D27" s="6"/>
      <c r="E27" s="6"/>
      <c r="F27" s="6"/>
      <c r="G27" s="562"/>
      <c r="H27" s="563"/>
      <c r="I27" s="563"/>
      <c r="J27" s="564"/>
    </row>
    <row r="28" spans="2:10" ht="19.5" customHeight="1" x14ac:dyDescent="0.2">
      <c r="B28" s="6"/>
      <c r="C28" s="6"/>
      <c r="D28" s="6"/>
      <c r="E28" s="6"/>
      <c r="F28" s="6"/>
      <c r="G28" s="562"/>
      <c r="H28" s="563"/>
      <c r="I28" s="563"/>
      <c r="J28" s="564"/>
    </row>
    <row r="29" spans="2:10" ht="19.5" customHeight="1" x14ac:dyDescent="0.2">
      <c r="B29" s="6"/>
      <c r="C29" s="6"/>
      <c r="D29" s="6"/>
      <c r="E29" s="6"/>
      <c r="F29" s="6"/>
      <c r="G29" s="562"/>
      <c r="H29" s="563"/>
      <c r="I29" s="563"/>
      <c r="J29" s="564"/>
    </row>
    <row r="30" spans="2:10" ht="19.5" customHeight="1" x14ac:dyDescent="0.2">
      <c r="B30" s="6"/>
      <c r="C30" s="6"/>
      <c r="D30" s="6"/>
      <c r="E30" s="6"/>
      <c r="F30" s="6"/>
      <c r="G30" s="565"/>
      <c r="H30" s="566"/>
      <c r="I30" s="566"/>
      <c r="J30" s="567"/>
    </row>
    <row r="31" spans="2:10" ht="19.5" customHeight="1" x14ac:dyDescent="0.2"/>
    <row r="32" spans="2:10" ht="19.5" customHeight="1" x14ac:dyDescent="0.2">
      <c r="H32" s="568" t="s">
        <v>169</v>
      </c>
      <c r="I32" s="569"/>
      <c r="J32" s="569"/>
    </row>
  </sheetData>
  <sheetProtection algorithmName="SHA-512" hashValue="SSd7dQBnTVCgGdwhhd6wFSyPrCupV3LXcevAUzAyCqH0sCVIVcElMN3uqVsV2a9hwCDCBQa5KKOfd2t5yTMWVA==" saltValue="Al9zshN9TpuSp8Vovv5oGw==" spinCount="100000" sheet="1" formatCells="0" formatColumns="0" formatRows="0" insertColumns="0" insertRows="0" insertHyperlinks="0" deleteColumns="0" deleteRows="0" pivotTables="0"/>
  <mergeCells count="20">
    <mergeCell ref="B9:J9"/>
    <mergeCell ref="G20:J20"/>
    <mergeCell ref="G22:J30"/>
    <mergeCell ref="H32:J32"/>
    <mergeCell ref="B7:C7"/>
    <mergeCell ref="D7:J7"/>
    <mergeCell ref="B20:E20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CB73-C367-484A-B830-609D142E1B50}">
  <sheetPr>
    <tabColor theme="9" tint="-0.499984740745262"/>
    <pageSetUpPr fitToPage="1"/>
  </sheetPr>
  <dimension ref="B2:N48"/>
  <sheetViews>
    <sheetView showGridLines="0" topLeftCell="A36" workbookViewId="0">
      <selection activeCell="J37" sqref="J3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</row>
    <row r="13" spans="2:10" ht="41.25" customHeight="1" thickBot="1" x14ac:dyDescent="0.25">
      <c r="B13" s="667" t="s">
        <v>238</v>
      </c>
      <c r="C13" s="730"/>
      <c r="D13" s="62">
        <v>1.17</v>
      </c>
      <c r="E13" s="62">
        <v>1.1200000000000001</v>
      </c>
      <c r="F13" s="62">
        <v>1.18</v>
      </c>
      <c r="G13" s="62">
        <v>1.1200000000000001</v>
      </c>
      <c r="H13" s="62">
        <v>1.05</v>
      </c>
      <c r="I13" s="452">
        <v>1</v>
      </c>
    </row>
    <row r="14" spans="2:10" ht="41.25" customHeight="1" x14ac:dyDescent="0.2">
      <c r="B14" s="667" t="s">
        <v>337</v>
      </c>
      <c r="C14" s="730"/>
      <c r="D14" s="62">
        <v>0.87</v>
      </c>
      <c r="E14" s="62">
        <v>1.07</v>
      </c>
      <c r="F14" s="62">
        <v>1.1000000000000001</v>
      </c>
      <c r="G14" s="62">
        <v>1.17</v>
      </c>
      <c r="H14" s="62" t="s">
        <v>231</v>
      </c>
      <c r="I14" s="454">
        <v>1</v>
      </c>
    </row>
    <row r="15" spans="2:10" ht="41.25" customHeight="1" x14ac:dyDescent="0.2">
      <c r="B15" s="667" t="s">
        <v>287</v>
      </c>
      <c r="C15" s="730"/>
      <c r="D15" s="62">
        <v>1.05</v>
      </c>
      <c r="E15" s="62">
        <v>1.05</v>
      </c>
      <c r="F15" s="62">
        <v>1.28</v>
      </c>
      <c r="G15" s="62">
        <v>1.25</v>
      </c>
      <c r="H15" s="62">
        <v>1.02</v>
      </c>
      <c r="I15" s="455">
        <v>1.075</v>
      </c>
    </row>
    <row r="16" spans="2:10" ht="41.25" customHeight="1" thickBot="1" x14ac:dyDescent="0.25">
      <c r="B16" s="667" t="s">
        <v>241</v>
      </c>
      <c r="C16" s="730"/>
      <c r="D16" s="62">
        <v>1.01</v>
      </c>
      <c r="E16" s="62">
        <v>1.01</v>
      </c>
      <c r="F16" s="62">
        <v>1.07</v>
      </c>
      <c r="G16" s="62">
        <v>1.1000000000000001</v>
      </c>
      <c r="H16" s="62">
        <v>1.0285</v>
      </c>
      <c r="I16" s="453">
        <v>1.0857000000000001</v>
      </c>
    </row>
    <row r="17" spans="2:9" ht="41.25" customHeight="1" thickBot="1" x14ac:dyDescent="0.25">
      <c r="B17" s="667" t="s">
        <v>330</v>
      </c>
      <c r="C17" s="730"/>
      <c r="D17" s="62">
        <v>1.1499999999999999</v>
      </c>
      <c r="E17" s="62">
        <v>1.1000000000000001</v>
      </c>
      <c r="F17" s="62">
        <v>1.1000000000000001</v>
      </c>
      <c r="G17" s="62">
        <v>1</v>
      </c>
      <c r="H17" s="62" t="s">
        <v>231</v>
      </c>
      <c r="I17" s="452">
        <v>1.1000000000000001</v>
      </c>
    </row>
    <row r="18" spans="2:9" ht="41.25" customHeight="1" thickBot="1" x14ac:dyDescent="0.25">
      <c r="B18" s="667" t="s">
        <v>331</v>
      </c>
      <c r="C18" s="730"/>
      <c r="D18" s="62">
        <v>1.05</v>
      </c>
      <c r="E18" s="62">
        <v>1</v>
      </c>
      <c r="F18" s="62">
        <v>1.1000000000000001</v>
      </c>
      <c r="G18" s="62">
        <v>1.05</v>
      </c>
      <c r="H18" s="62" t="s">
        <v>231</v>
      </c>
      <c r="I18" s="452">
        <v>1.05</v>
      </c>
    </row>
    <row r="19" spans="2:9" ht="41.25" customHeight="1" thickBot="1" x14ac:dyDescent="0.25">
      <c r="B19" s="667" t="s">
        <v>244</v>
      </c>
      <c r="C19" s="730"/>
      <c r="D19" s="62">
        <v>0.78</v>
      </c>
      <c r="E19" s="62">
        <v>0.94</v>
      </c>
      <c r="F19" s="62">
        <v>0.96</v>
      </c>
      <c r="G19" s="62">
        <v>1.04</v>
      </c>
      <c r="H19" s="62">
        <v>0.67500000000000004</v>
      </c>
      <c r="I19" s="393">
        <v>1</v>
      </c>
    </row>
    <row r="20" spans="2:9" ht="41.25" customHeight="1" thickBot="1" x14ac:dyDescent="0.25">
      <c r="B20" s="667" t="s">
        <v>245</v>
      </c>
      <c r="C20" s="730"/>
      <c r="D20" s="42" t="s">
        <v>290</v>
      </c>
      <c r="E20" s="62">
        <v>1.05</v>
      </c>
      <c r="F20" s="62">
        <v>1.25</v>
      </c>
      <c r="G20" s="62">
        <v>1.23</v>
      </c>
      <c r="H20" s="62">
        <v>1.075</v>
      </c>
      <c r="I20" s="452">
        <v>1.05</v>
      </c>
    </row>
    <row r="21" spans="2:9" ht="41.25" customHeight="1" thickBot="1" x14ac:dyDescent="0.25">
      <c r="B21" s="667" t="s">
        <v>246</v>
      </c>
      <c r="C21" s="730"/>
      <c r="D21" s="62">
        <v>0.97</v>
      </c>
      <c r="E21" s="62">
        <v>0.99</v>
      </c>
      <c r="F21" s="62">
        <v>1.03</v>
      </c>
      <c r="G21" s="62">
        <v>1.1499999999999999</v>
      </c>
      <c r="H21" s="62">
        <v>1.133</v>
      </c>
      <c r="I21" s="452">
        <v>1.05</v>
      </c>
    </row>
    <row r="22" spans="2:9" ht="41.25" customHeight="1" thickBot="1" x14ac:dyDescent="0.25">
      <c r="B22" s="667" t="s">
        <v>247</v>
      </c>
      <c r="C22" s="730"/>
      <c r="D22" s="62">
        <v>1.82</v>
      </c>
      <c r="E22" s="62">
        <v>1.06</v>
      </c>
      <c r="F22" s="62">
        <v>1.0900000000000001</v>
      </c>
      <c r="G22" s="62">
        <v>1.1200000000000001</v>
      </c>
      <c r="H22" s="62">
        <v>1</v>
      </c>
      <c r="I22" s="452">
        <v>1</v>
      </c>
    </row>
    <row r="23" spans="2:9" ht="41.25" customHeight="1" x14ac:dyDescent="0.2">
      <c r="B23" s="667" t="s">
        <v>248</v>
      </c>
      <c r="C23" s="730"/>
      <c r="D23" s="62">
        <v>0</v>
      </c>
      <c r="E23" s="62">
        <v>1.03</v>
      </c>
      <c r="F23" s="62">
        <v>1.04</v>
      </c>
      <c r="G23" s="62">
        <v>1.1000000000000001</v>
      </c>
      <c r="H23" s="247">
        <v>0.97499999999999998</v>
      </c>
      <c r="I23" s="247">
        <v>0.99160000000000004</v>
      </c>
    </row>
    <row r="24" spans="2:9" ht="41.25" customHeight="1" x14ac:dyDescent="0.2">
      <c r="B24" s="667" t="s">
        <v>261</v>
      </c>
      <c r="C24" s="667"/>
      <c r="D24" s="62">
        <v>0.88</v>
      </c>
      <c r="E24" s="62">
        <v>1.02</v>
      </c>
      <c r="F24" s="62">
        <v>1.06</v>
      </c>
      <c r="G24" s="62">
        <v>1.1599999999999999</v>
      </c>
      <c r="H24" s="62">
        <v>1.26</v>
      </c>
      <c r="I24" s="62">
        <v>1.1599999999999999</v>
      </c>
    </row>
    <row r="25" spans="2:9" ht="41.25" customHeight="1" thickBot="1" x14ac:dyDescent="0.25">
      <c r="B25" s="667" t="s">
        <v>292</v>
      </c>
      <c r="C25" s="667"/>
      <c r="D25" s="62">
        <v>1.04</v>
      </c>
      <c r="E25" s="62">
        <v>0.8</v>
      </c>
      <c r="F25" s="62">
        <v>0.68</v>
      </c>
      <c r="G25" s="62">
        <v>0.96</v>
      </c>
      <c r="H25" s="62">
        <v>1.24</v>
      </c>
      <c r="I25" s="452">
        <v>1.28</v>
      </c>
    </row>
    <row r="26" spans="2:9" ht="41.25" customHeight="1" x14ac:dyDescent="0.2">
      <c r="B26" s="667" t="s">
        <v>263</v>
      </c>
      <c r="C26" s="667"/>
      <c r="D26" s="52">
        <v>0.84</v>
      </c>
      <c r="E26" s="52">
        <v>0.68</v>
      </c>
      <c r="F26" s="52">
        <v>0.6</v>
      </c>
      <c r="G26" s="246">
        <v>0.44</v>
      </c>
      <c r="H26" s="246">
        <v>0.92</v>
      </c>
      <c r="I26" s="247">
        <v>0.8</v>
      </c>
    </row>
    <row r="27" spans="2:9" ht="41.25" customHeight="1" x14ac:dyDescent="0.2">
      <c r="B27" s="667" t="s">
        <v>264</v>
      </c>
      <c r="C27" s="667"/>
      <c r="D27" s="52">
        <v>1</v>
      </c>
      <c r="E27" s="52">
        <v>0.77</v>
      </c>
      <c r="F27" s="52">
        <v>1.2</v>
      </c>
      <c r="G27" s="52">
        <v>1.2</v>
      </c>
      <c r="H27" s="52">
        <v>1.333</v>
      </c>
      <c r="I27" s="62">
        <v>1.633</v>
      </c>
    </row>
    <row r="28" spans="2:9" ht="41.25" customHeight="1" x14ac:dyDescent="0.2">
      <c r="B28" s="667" t="s">
        <v>277</v>
      </c>
      <c r="C28" s="667"/>
      <c r="D28" s="52">
        <v>0.92</v>
      </c>
      <c r="E28" s="52">
        <v>0.84</v>
      </c>
      <c r="F28" s="52">
        <v>0.88</v>
      </c>
      <c r="G28" s="244">
        <v>0.47</v>
      </c>
      <c r="H28" s="244">
        <v>0.6</v>
      </c>
      <c r="I28" s="247">
        <v>0.52</v>
      </c>
    </row>
    <row r="29" spans="2:9" ht="41.25" customHeight="1" x14ac:dyDescent="0.2">
      <c r="B29" s="667" t="s">
        <v>265</v>
      </c>
      <c r="C29" s="667"/>
      <c r="D29" s="52">
        <v>0.23</v>
      </c>
      <c r="E29" s="52">
        <v>0.17</v>
      </c>
      <c r="F29" s="52">
        <v>0.43</v>
      </c>
      <c r="G29" s="244">
        <v>0.24</v>
      </c>
      <c r="H29" s="244" t="s">
        <v>348</v>
      </c>
      <c r="I29" s="247">
        <v>0.48</v>
      </c>
    </row>
    <row r="30" spans="2:9" ht="41.25" customHeight="1" x14ac:dyDescent="0.2">
      <c r="B30" s="667" t="s">
        <v>509</v>
      </c>
      <c r="C30" s="667"/>
      <c r="D30" s="52">
        <v>1.22</v>
      </c>
      <c r="E30" s="52">
        <v>0.89</v>
      </c>
      <c r="F30" s="52">
        <v>0.96</v>
      </c>
      <c r="G30" s="244">
        <v>0.82</v>
      </c>
      <c r="H30" s="245">
        <v>0.97499999999999998</v>
      </c>
      <c r="I30" s="62">
        <v>1</v>
      </c>
    </row>
    <row r="31" spans="2:9" ht="22.5" customHeight="1" x14ac:dyDescent="0.2">
      <c r="B31" s="806" t="e">
        <f>D5</f>
        <v>#REF!</v>
      </c>
      <c r="C31" s="806"/>
      <c r="D31" s="15">
        <f>COUNTIF(D13:D30,"&gt;= 100%")</f>
        <v>9</v>
      </c>
      <c r="E31" s="15">
        <f>COUNTIF(E13:E30,"&gt;= 100%")</f>
        <v>10</v>
      </c>
      <c r="F31" s="15">
        <f>COUNTIF(F13:F30,"&gt;= 100%")</f>
        <v>12</v>
      </c>
      <c r="G31" s="15">
        <f>COUNTIF(G13:G30,"&gt;= 100%")</f>
        <v>13</v>
      </c>
      <c r="H31" s="15">
        <f>COUNTIF(H13:H30,"&gt;=100%")</f>
        <v>9</v>
      </c>
      <c r="I31" s="15">
        <f>COUNTIF(I13:I30,"&gt;=100%")</f>
        <v>14</v>
      </c>
    </row>
    <row r="32" spans="2:9" ht="22.5" customHeight="1" x14ac:dyDescent="0.2">
      <c r="B32" s="644" t="s">
        <v>268</v>
      </c>
      <c r="C32" s="644"/>
      <c r="D32" s="15">
        <f t="shared" ref="D32:I32" si="0">COUNT(D13:D30)</f>
        <v>17</v>
      </c>
      <c r="E32" s="15">
        <f t="shared" si="0"/>
        <v>18</v>
      </c>
      <c r="F32" s="15">
        <f t="shared" si="0"/>
        <v>18</v>
      </c>
      <c r="G32" s="15">
        <f t="shared" si="0"/>
        <v>18</v>
      </c>
      <c r="H32" s="15">
        <f t="shared" si="0"/>
        <v>14</v>
      </c>
      <c r="I32" s="15">
        <f t="shared" si="0"/>
        <v>18</v>
      </c>
    </row>
    <row r="33" spans="2:14" ht="22.5" customHeight="1" x14ac:dyDescent="0.2">
      <c r="B33" s="216" t="s">
        <v>516</v>
      </c>
      <c r="C33" s="216"/>
      <c r="D33" s="248">
        <v>1</v>
      </c>
      <c r="E33" s="248">
        <v>1</v>
      </c>
      <c r="F33" s="248">
        <v>1</v>
      </c>
      <c r="G33" s="248">
        <v>1</v>
      </c>
      <c r="H33" s="248">
        <v>1</v>
      </c>
      <c r="I33" s="248">
        <v>1</v>
      </c>
    </row>
    <row r="34" spans="2:14" ht="22.5" customHeight="1" x14ac:dyDescent="0.2">
      <c r="B34" s="640" t="s">
        <v>226</v>
      </c>
      <c r="C34" s="706"/>
      <c r="D34" s="46">
        <f t="shared" ref="D34:I34" si="1">D31/D32</f>
        <v>0.52941176470588236</v>
      </c>
      <c r="E34" s="46">
        <f t="shared" si="1"/>
        <v>0.55555555555555558</v>
      </c>
      <c r="F34" s="46">
        <f t="shared" si="1"/>
        <v>0.66666666666666663</v>
      </c>
      <c r="G34" s="46">
        <f t="shared" si="1"/>
        <v>0.72222222222222221</v>
      </c>
      <c r="H34" s="46">
        <f t="shared" si="1"/>
        <v>0.6428571428571429</v>
      </c>
      <c r="I34" s="46">
        <f t="shared" si="1"/>
        <v>0.77777777777777779</v>
      </c>
    </row>
    <row r="35" spans="2:14" ht="22.5" customHeight="1" x14ac:dyDescent="0.25">
      <c r="B35" s="5"/>
      <c r="C35" s="5"/>
      <c r="D35" s="4"/>
      <c r="E35" s="4"/>
      <c r="F35" s="4"/>
      <c r="G35" s="4"/>
      <c r="H35" s="4"/>
      <c r="I35" s="4"/>
      <c r="J35" s="4"/>
    </row>
    <row r="36" spans="2:14" ht="22.5" customHeight="1" x14ac:dyDescent="0.2">
      <c r="B36" s="572" t="s">
        <v>227</v>
      </c>
      <c r="C36" s="573"/>
      <c r="D36" s="573"/>
      <c r="E36" s="574"/>
      <c r="F36" s="6"/>
      <c r="G36" s="811"/>
      <c r="H36" s="812"/>
      <c r="I36" s="812"/>
      <c r="J36" s="812"/>
      <c r="K36" s="646" t="s">
        <v>228</v>
      </c>
      <c r="L36" s="573"/>
      <c r="M36" s="573"/>
      <c r="N36" s="574"/>
    </row>
    <row r="37" spans="2:14" ht="22.5" customHeight="1" x14ac:dyDescent="0.2">
      <c r="B37" s="6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  <c r="N37" s="7"/>
    </row>
    <row r="38" spans="2:14" ht="6" customHeight="1" x14ac:dyDescent="0.2">
      <c r="B38" s="6"/>
      <c r="C38" s="6"/>
      <c r="D38" s="6"/>
      <c r="E38" s="6"/>
      <c r="F38" s="6"/>
      <c r="G38" s="672"/>
      <c r="H38" s="648"/>
      <c r="I38" s="648"/>
      <c r="J38" s="648"/>
      <c r="K38" s="647" t="s">
        <v>403</v>
      </c>
      <c r="L38" s="560"/>
      <c r="M38" s="560"/>
      <c r="N38" s="561"/>
    </row>
    <row r="39" spans="2:14" ht="19.5" customHeight="1" x14ac:dyDescent="0.2">
      <c r="B39" s="6"/>
      <c r="C39" s="6"/>
      <c r="D39" s="6"/>
      <c r="E39" s="6"/>
      <c r="F39" s="6"/>
      <c r="G39" s="648"/>
      <c r="H39" s="563"/>
      <c r="I39" s="563"/>
      <c r="J39" s="648"/>
      <c r="K39" s="648"/>
      <c r="L39" s="563"/>
      <c r="M39" s="563"/>
      <c r="N39" s="564"/>
    </row>
    <row r="40" spans="2:14" ht="19.5" customHeight="1" x14ac:dyDescent="0.2">
      <c r="B40" s="6"/>
      <c r="C40" s="6"/>
      <c r="D40" s="6"/>
      <c r="E40" s="6"/>
      <c r="F40" s="6"/>
      <c r="G40" s="648"/>
      <c r="H40" s="563"/>
      <c r="I40" s="563"/>
      <c r="J40" s="648"/>
      <c r="K40" s="648"/>
      <c r="L40" s="563"/>
      <c r="M40" s="563"/>
      <c r="N40" s="564"/>
    </row>
    <row r="41" spans="2:14" ht="19.5" customHeight="1" x14ac:dyDescent="0.2">
      <c r="B41" s="6"/>
      <c r="C41" s="6"/>
      <c r="D41" s="6"/>
      <c r="E41" s="6"/>
      <c r="F41" s="6"/>
      <c r="G41" s="648"/>
      <c r="H41" s="563"/>
      <c r="I41" s="563"/>
      <c r="J41" s="648"/>
      <c r="K41" s="648"/>
      <c r="L41" s="563"/>
      <c r="M41" s="563"/>
      <c r="N41" s="564"/>
    </row>
    <row r="42" spans="2:14" ht="19.5" customHeight="1" x14ac:dyDescent="0.2">
      <c r="B42" s="6"/>
      <c r="C42" s="6"/>
      <c r="D42" s="6"/>
      <c r="E42" s="6"/>
      <c r="F42" s="6"/>
      <c r="G42" s="648"/>
      <c r="H42" s="563"/>
      <c r="I42" s="563"/>
      <c r="J42" s="648"/>
      <c r="K42" s="648"/>
      <c r="L42" s="563"/>
      <c r="M42" s="563"/>
      <c r="N42" s="564"/>
    </row>
    <row r="43" spans="2:14" ht="19.5" customHeight="1" x14ac:dyDescent="0.2">
      <c r="B43" s="6"/>
      <c r="C43" s="6"/>
      <c r="D43" s="6"/>
      <c r="E43" s="6"/>
      <c r="F43" s="6"/>
      <c r="G43" s="648"/>
      <c r="H43" s="563"/>
      <c r="I43" s="563"/>
      <c r="J43" s="648"/>
      <c r="K43" s="648"/>
      <c r="L43" s="563"/>
      <c r="M43" s="563"/>
      <c r="N43" s="564"/>
    </row>
    <row r="44" spans="2:14" ht="19.5" customHeight="1" x14ac:dyDescent="0.2">
      <c r="B44" s="6"/>
      <c r="C44" s="6"/>
      <c r="D44" s="6"/>
      <c r="E44" s="6"/>
      <c r="F44" s="6"/>
      <c r="G44" s="648"/>
      <c r="H44" s="563"/>
      <c r="I44" s="563"/>
      <c r="J44" s="648"/>
      <c r="K44" s="648"/>
      <c r="L44" s="563"/>
      <c r="M44" s="563"/>
      <c r="N44" s="564"/>
    </row>
    <row r="45" spans="2:14" ht="19.5" customHeight="1" x14ac:dyDescent="0.2">
      <c r="B45" s="6"/>
      <c r="C45" s="6"/>
      <c r="D45" s="6"/>
      <c r="E45" s="6"/>
      <c r="F45" s="6"/>
      <c r="G45" s="648"/>
      <c r="H45" s="563"/>
      <c r="I45" s="563"/>
      <c r="J45" s="648"/>
      <c r="K45" s="648"/>
      <c r="L45" s="563"/>
      <c r="M45" s="563"/>
      <c r="N45" s="564"/>
    </row>
    <row r="46" spans="2:14" ht="19.5" customHeight="1" x14ac:dyDescent="0.2">
      <c r="B46" s="6"/>
      <c r="C46" s="6"/>
      <c r="D46" s="6"/>
      <c r="E46" s="6"/>
      <c r="F46" s="6"/>
      <c r="G46" s="648"/>
      <c r="H46" s="648"/>
      <c r="I46" s="648"/>
      <c r="J46" s="648"/>
      <c r="K46" s="566"/>
      <c r="L46" s="566"/>
      <c r="M46" s="566"/>
      <c r="N46" s="567"/>
    </row>
    <row r="47" spans="2:14" ht="19.5" customHeight="1" x14ac:dyDescent="0.2"/>
    <row r="48" spans="2:14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3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17:C17"/>
    <mergeCell ref="B7:C7"/>
    <mergeCell ref="D7:J7"/>
    <mergeCell ref="B9:J9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4:C34"/>
    <mergeCell ref="B36:E36"/>
    <mergeCell ref="K36:N36"/>
    <mergeCell ref="K38:N46"/>
    <mergeCell ref="G36:J36"/>
    <mergeCell ref="G38:J46"/>
    <mergeCell ref="H48:J48"/>
  </mergeCells>
  <conditionalFormatting sqref="D13:H30">
    <cfRule type="cellIs" dxfId="28" priority="4" operator="between">
      <formula>0</formula>
      <formula>0.9</formula>
    </cfRule>
  </conditionalFormatting>
  <conditionalFormatting sqref="I23:I24">
    <cfRule type="cellIs" dxfId="27" priority="3" operator="between">
      <formula>0</formula>
      <formula>0.9</formula>
    </cfRule>
  </conditionalFormatting>
  <conditionalFormatting sqref="I26:I30">
    <cfRule type="cellIs" dxfId="26" priority="1" operator="between">
      <formula>0</formula>
      <formula>0.9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F6E0-34AE-43E3-8EB8-A3AC3D92BCD3}">
  <sheetPr>
    <tabColor theme="9" tint="-0.499984740745262"/>
    <pageSetUpPr fitToPage="1"/>
  </sheetPr>
  <dimension ref="B2:N41"/>
  <sheetViews>
    <sheetView showGridLines="0" topLeftCell="A22" workbookViewId="0">
      <selection activeCell="G26" sqref="G2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105" t="s">
        <v>218</v>
      </c>
      <c r="E12" s="105" t="s">
        <v>219</v>
      </c>
      <c r="F12" s="105" t="s">
        <v>220</v>
      </c>
      <c r="G12" s="105" t="s">
        <v>221</v>
      </c>
      <c r="H12" s="105" t="s">
        <v>222</v>
      </c>
      <c r="I12" s="105" t="s">
        <v>223</v>
      </c>
    </row>
    <row r="13" spans="2:10" ht="41.25" customHeight="1" thickBot="1" x14ac:dyDescent="0.25">
      <c r="B13" s="667" t="s">
        <v>238</v>
      </c>
      <c r="C13" s="667"/>
      <c r="D13" s="42">
        <v>3.82</v>
      </c>
      <c r="E13" s="42" t="s">
        <v>231</v>
      </c>
      <c r="F13" s="42">
        <v>3.75</v>
      </c>
      <c r="G13" s="42">
        <v>3.8</v>
      </c>
      <c r="H13" s="202">
        <v>3.76</v>
      </c>
      <c r="I13" s="202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42" t="s">
        <v>290</v>
      </c>
      <c r="E14" s="42" t="s">
        <v>231</v>
      </c>
      <c r="F14" s="42">
        <v>3</v>
      </c>
      <c r="G14" s="42">
        <v>2</v>
      </c>
      <c r="H14" s="249">
        <v>2.86</v>
      </c>
      <c r="I14" s="165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42" t="s">
        <v>290</v>
      </c>
      <c r="E15" s="42">
        <v>3.8</v>
      </c>
      <c r="F15" s="42">
        <v>3.83</v>
      </c>
      <c r="G15" s="42">
        <v>3</v>
      </c>
      <c r="H15" s="165">
        <v>4.17</v>
      </c>
      <c r="I15" s="165" t="s">
        <v>254</v>
      </c>
      <c r="J15" s="121"/>
    </row>
    <row r="16" spans="2:10" ht="41.25" customHeight="1" thickBot="1" x14ac:dyDescent="0.25">
      <c r="B16" s="667" t="s">
        <v>241</v>
      </c>
      <c r="C16" s="667"/>
      <c r="D16" s="42">
        <v>2.67</v>
      </c>
      <c r="E16" s="42">
        <v>3.19</v>
      </c>
      <c r="F16" s="42">
        <v>3.92</v>
      </c>
      <c r="G16" s="42">
        <v>2.17</v>
      </c>
      <c r="H16" s="165">
        <v>3.52</v>
      </c>
      <c r="I16" s="165" t="s">
        <v>254</v>
      </c>
      <c r="J16" s="121"/>
    </row>
    <row r="17" spans="2:14" ht="41.25" customHeight="1" thickBot="1" x14ac:dyDescent="0.25">
      <c r="B17" s="667" t="s">
        <v>330</v>
      </c>
      <c r="C17" s="667"/>
      <c r="D17" s="42" t="s">
        <v>290</v>
      </c>
      <c r="E17" s="42" t="s">
        <v>231</v>
      </c>
      <c r="F17" s="42" t="s">
        <v>231</v>
      </c>
      <c r="G17" s="42">
        <v>4</v>
      </c>
      <c r="H17" s="165">
        <v>3.56</v>
      </c>
      <c r="I17" s="165" t="s">
        <v>254</v>
      </c>
      <c r="J17" s="121"/>
      <c r="K17" s="21"/>
      <c r="L17" s="26"/>
      <c r="M17" s="26"/>
    </row>
    <row r="18" spans="2:14" ht="41.25" customHeight="1" thickBot="1" x14ac:dyDescent="0.25">
      <c r="B18" s="730" t="s">
        <v>331</v>
      </c>
      <c r="C18" s="735"/>
      <c r="D18" s="42">
        <v>3.63</v>
      </c>
      <c r="E18" s="42">
        <v>3.86</v>
      </c>
      <c r="F18" s="42" t="s">
        <v>231</v>
      </c>
      <c r="G18" s="42">
        <v>3.5</v>
      </c>
      <c r="H18" s="165">
        <v>4</v>
      </c>
      <c r="I18" s="165" t="s">
        <v>254</v>
      </c>
      <c r="J18" s="121"/>
      <c r="K18" s="21"/>
      <c r="L18" s="26"/>
      <c r="M18" s="26"/>
    </row>
    <row r="19" spans="2:14" ht="41.25" customHeight="1" thickBot="1" x14ac:dyDescent="0.25">
      <c r="B19" s="667" t="s">
        <v>244</v>
      </c>
      <c r="C19" s="667"/>
      <c r="D19" s="42">
        <v>1.8</v>
      </c>
      <c r="E19" s="42" t="s">
        <v>231</v>
      </c>
      <c r="F19" s="42" t="s">
        <v>231</v>
      </c>
      <c r="G19" s="42" t="s">
        <v>231</v>
      </c>
      <c r="H19" s="165">
        <v>3.71</v>
      </c>
      <c r="I19" s="165" t="s">
        <v>254</v>
      </c>
      <c r="J19" s="121"/>
      <c r="K19" s="21"/>
      <c r="L19" s="26"/>
      <c r="M19" s="26"/>
    </row>
    <row r="20" spans="2:14" ht="41.25" customHeight="1" thickBot="1" x14ac:dyDescent="0.25">
      <c r="B20" s="667" t="s">
        <v>344</v>
      </c>
      <c r="C20" s="667"/>
      <c r="D20" s="106" t="s">
        <v>290</v>
      </c>
      <c r="E20" s="106" t="s">
        <v>290</v>
      </c>
      <c r="F20" s="106" t="s">
        <v>290</v>
      </c>
      <c r="G20" s="106" t="s">
        <v>290</v>
      </c>
      <c r="H20" s="250">
        <v>4.17</v>
      </c>
      <c r="I20" s="165" t="s">
        <v>254</v>
      </c>
      <c r="J20" s="121"/>
      <c r="K20" s="21"/>
      <c r="L20" s="26"/>
      <c r="M20" s="26"/>
    </row>
    <row r="21" spans="2:14" ht="41.25" customHeight="1" thickBot="1" x14ac:dyDescent="0.25">
      <c r="B21" s="667" t="s">
        <v>246</v>
      </c>
      <c r="C21" s="667"/>
      <c r="D21" s="42">
        <v>3.4</v>
      </c>
      <c r="E21" s="42">
        <v>3.21</v>
      </c>
      <c r="F21" s="42">
        <v>3.36</v>
      </c>
      <c r="G21" s="42">
        <v>4</v>
      </c>
      <c r="H21" s="165">
        <v>3.87</v>
      </c>
      <c r="I21" s="165" t="s">
        <v>254</v>
      </c>
      <c r="J21" s="27"/>
    </row>
    <row r="22" spans="2:14" ht="41.25" customHeight="1" thickBot="1" x14ac:dyDescent="0.25">
      <c r="B22" s="667" t="s">
        <v>247</v>
      </c>
      <c r="C22" s="667"/>
      <c r="D22" s="42">
        <v>2.73</v>
      </c>
      <c r="E22" s="42">
        <v>3.11</v>
      </c>
      <c r="F22" s="42">
        <v>3.4</v>
      </c>
      <c r="G22" s="42">
        <v>4</v>
      </c>
      <c r="H22" s="165">
        <v>3.82</v>
      </c>
      <c r="I22" s="165" t="s">
        <v>254</v>
      </c>
      <c r="J22" s="28"/>
      <c r="K22" s="53"/>
      <c r="L22" s="53"/>
      <c r="M22" s="53"/>
      <c r="N22" s="53"/>
    </row>
    <row r="23" spans="2:14" ht="41.25" customHeight="1" thickBot="1" x14ac:dyDescent="0.25">
      <c r="B23" s="667" t="s">
        <v>248</v>
      </c>
      <c r="C23" s="667"/>
      <c r="D23" s="42">
        <v>2.65</v>
      </c>
      <c r="E23" s="42">
        <v>3.37</v>
      </c>
      <c r="F23" s="42">
        <v>3.08</v>
      </c>
      <c r="G23" s="42">
        <v>4.25</v>
      </c>
      <c r="H23" s="165">
        <v>3.58</v>
      </c>
      <c r="I23" s="165" t="s">
        <v>254</v>
      </c>
      <c r="J23" s="28"/>
      <c r="K23" s="53"/>
      <c r="L23" s="53"/>
      <c r="M23" s="53"/>
      <c r="N23" s="53"/>
    </row>
    <row r="24" spans="2:14" ht="22.5" customHeight="1" x14ac:dyDescent="0.2">
      <c r="B24" s="785" t="e">
        <f>D5</f>
        <v>#REF!</v>
      </c>
      <c r="C24" s="785"/>
      <c r="D24" s="15">
        <f t="shared" ref="D24:I24" si="0">COUNTIF(D13:D23,"&gt;=3")</f>
        <v>3</v>
      </c>
      <c r="E24" s="15">
        <f t="shared" si="0"/>
        <v>6</v>
      </c>
      <c r="F24" s="15">
        <f t="shared" si="0"/>
        <v>7</v>
      </c>
      <c r="G24" s="15">
        <f t="shared" si="0"/>
        <v>7</v>
      </c>
      <c r="H24" s="15">
        <f t="shared" si="0"/>
        <v>10</v>
      </c>
      <c r="I24" s="15">
        <f t="shared" si="0"/>
        <v>0</v>
      </c>
    </row>
    <row r="25" spans="2:14" ht="22.5" customHeight="1" x14ac:dyDescent="0.2">
      <c r="B25" s="644" t="s">
        <v>268</v>
      </c>
      <c r="C25" s="644"/>
      <c r="D25" s="15">
        <f t="shared" ref="D25:I25" si="1">COUNT(D13:D23)</f>
        <v>7</v>
      </c>
      <c r="E25" s="15">
        <f t="shared" si="1"/>
        <v>6</v>
      </c>
      <c r="F25" s="15">
        <f t="shared" si="1"/>
        <v>7</v>
      </c>
      <c r="G25" s="15">
        <f t="shared" si="1"/>
        <v>9</v>
      </c>
      <c r="H25" s="15">
        <f t="shared" si="1"/>
        <v>11</v>
      </c>
      <c r="I25" s="15">
        <f t="shared" si="1"/>
        <v>0</v>
      </c>
    </row>
    <row r="26" spans="2:14" ht="22.5" customHeight="1" x14ac:dyDescent="0.2">
      <c r="B26" s="43" t="s">
        <v>517</v>
      </c>
      <c r="C26" s="234" t="e">
        <f>D5</f>
        <v>#REF!</v>
      </c>
      <c r="D26" s="72">
        <v>3</v>
      </c>
      <c r="E26" s="72">
        <v>3</v>
      </c>
      <c r="F26" s="72">
        <v>3</v>
      </c>
      <c r="G26" s="72">
        <v>3</v>
      </c>
      <c r="H26" s="72">
        <v>3</v>
      </c>
      <c r="I26" s="72">
        <v>3</v>
      </c>
    </row>
    <row r="27" spans="2:14" ht="22.5" customHeight="1" x14ac:dyDescent="0.2">
      <c r="B27" s="640" t="s">
        <v>226</v>
      </c>
      <c r="C27" s="706"/>
      <c r="D27" s="46">
        <f t="shared" ref="D27:I27" si="2">D24/D25</f>
        <v>0.42857142857142855</v>
      </c>
      <c r="E27" s="46">
        <f t="shared" si="2"/>
        <v>1</v>
      </c>
      <c r="F27" s="46">
        <f t="shared" si="2"/>
        <v>1</v>
      </c>
      <c r="G27" s="46">
        <f t="shared" si="2"/>
        <v>0.77777777777777779</v>
      </c>
      <c r="H27" s="46">
        <f t="shared" si="2"/>
        <v>0.90909090909090906</v>
      </c>
      <c r="I27" s="46" t="e">
        <f t="shared" si="2"/>
        <v>#DIV/0!</v>
      </c>
    </row>
    <row r="28" spans="2:14" ht="22.5" customHeight="1" x14ac:dyDescent="0.25">
      <c r="B28" s="5"/>
      <c r="C28" s="5"/>
      <c r="D28" s="4"/>
      <c r="E28" s="4"/>
      <c r="F28" s="4"/>
      <c r="G28" s="4"/>
      <c r="H28" s="4"/>
      <c r="I28" s="4"/>
      <c r="J28" s="4"/>
    </row>
    <row r="29" spans="2:14" ht="22.5" customHeight="1" x14ac:dyDescent="0.2">
      <c r="B29" s="572" t="s">
        <v>227</v>
      </c>
      <c r="C29" s="573"/>
      <c r="D29" s="573"/>
      <c r="E29" s="574"/>
      <c r="F29" s="6"/>
      <c r="K29" s="572" t="s">
        <v>228</v>
      </c>
      <c r="L29" s="573"/>
      <c r="M29" s="573"/>
      <c r="N29" s="574"/>
    </row>
    <row r="30" spans="2:14" ht="22.5" customHeight="1" x14ac:dyDescent="0.2">
      <c r="B30" s="6"/>
      <c r="C30" s="6"/>
      <c r="D30" s="6"/>
      <c r="E30" s="6"/>
      <c r="F30" s="6"/>
      <c r="K30" s="7"/>
      <c r="L30" s="7"/>
      <c r="M30" s="7"/>
      <c r="N30" s="7"/>
    </row>
    <row r="31" spans="2:14" ht="6" customHeight="1" x14ac:dyDescent="0.2">
      <c r="B31" s="6"/>
      <c r="C31" s="6"/>
      <c r="D31" s="6"/>
      <c r="E31" s="6"/>
      <c r="F31" s="6"/>
      <c r="K31" s="610" t="s">
        <v>518</v>
      </c>
      <c r="L31" s="560"/>
      <c r="M31" s="560"/>
      <c r="N31" s="561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2"/>
      <c r="L36" s="563"/>
      <c r="M36" s="563"/>
      <c r="N36" s="564"/>
    </row>
    <row r="37" spans="8:14" ht="19.5" customHeight="1" x14ac:dyDescent="0.2">
      <c r="K37" s="562"/>
      <c r="L37" s="563"/>
      <c r="M37" s="563"/>
      <c r="N37" s="564"/>
    </row>
    <row r="38" spans="8:14" ht="19.5" customHeight="1" x14ac:dyDescent="0.2">
      <c r="K38" s="562"/>
      <c r="L38" s="563"/>
      <c r="M38" s="563"/>
      <c r="N38" s="564"/>
    </row>
    <row r="39" spans="8:14" ht="19.5" customHeight="1" x14ac:dyDescent="0.2">
      <c r="K39" s="565"/>
      <c r="L39" s="566"/>
      <c r="M39" s="566"/>
      <c r="N39" s="567"/>
    </row>
    <row r="40" spans="8:14" ht="19.5" customHeight="1" x14ac:dyDescent="0.2"/>
    <row r="41" spans="8:14" ht="19.5" customHeight="1" x14ac:dyDescent="0.2">
      <c r="H41" s="568" t="s">
        <v>169</v>
      </c>
      <c r="I41" s="569"/>
      <c r="J41" s="569"/>
    </row>
  </sheetData>
  <sheetProtection sheet="1" formatCells="0" formatColumns="0" formatRows="0" insertColumns="0" insertRows="0" insertHyperlinks="0" deleteRows="0" pivotTables="0"/>
  <mergeCells count="34">
    <mergeCell ref="K31:N39"/>
    <mergeCell ref="H41:J41"/>
    <mergeCell ref="B23:C23"/>
    <mergeCell ref="B24:C24"/>
    <mergeCell ref="B25:C25"/>
    <mergeCell ref="B27:C27"/>
    <mergeCell ref="B29:E29"/>
    <mergeCell ref="K29:N29"/>
    <mergeCell ref="B19:C19"/>
    <mergeCell ref="B20:C20"/>
    <mergeCell ref="B21:C21"/>
    <mergeCell ref="B22:C22"/>
    <mergeCell ref="B9:J9"/>
    <mergeCell ref="B13:C13"/>
    <mergeCell ref="B14:C14"/>
    <mergeCell ref="B15:C15"/>
    <mergeCell ref="B16:C16"/>
    <mergeCell ref="B17:C17"/>
    <mergeCell ref="B18:C18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G23">
    <cfRule type="cellIs" dxfId="25" priority="2" operator="between">
      <formula>0</formula>
      <formula>2.7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618C-017F-4DAC-8004-CB32861675F3}">
  <sheetPr>
    <tabColor theme="9" tint="-0.499984740745262"/>
    <pageSetUpPr fitToPage="1"/>
  </sheetPr>
  <dimension ref="B2:J29"/>
  <sheetViews>
    <sheetView showGridLines="0" topLeftCell="C11" workbookViewId="0">
      <selection activeCell="G14" sqref="G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5" width="24.28515625" customWidth="1"/>
    <col min="6" max="6" width="12.5703125" customWidth="1"/>
    <col min="7" max="7" width="50.7109375" customWidth="1"/>
    <col min="8" max="8" width="12" customWidth="1"/>
    <col min="9" max="9" width="10.7109375" customWidth="1"/>
    <col min="10" max="17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</row>
    <row r="4" spans="2:10" ht="42" customHeight="1" x14ac:dyDescent="0.2">
      <c r="B4" s="572" t="s">
        <v>208</v>
      </c>
      <c r="C4" s="574"/>
      <c r="D4" s="61" t="e">
        <f>#REF!</f>
        <v>#REF!</v>
      </c>
      <c r="E4" s="68" t="s">
        <v>209</v>
      </c>
      <c r="F4" s="649" t="e">
        <f>#REF!</f>
        <v>#REF!</v>
      </c>
      <c r="G4" s="658"/>
    </row>
    <row r="5" spans="2:10" ht="22.5" customHeight="1" x14ac:dyDescent="0.2">
      <c r="B5" s="572" t="s">
        <v>317</v>
      </c>
      <c r="C5" s="574"/>
      <c r="D5" s="126" t="e">
        <f>#REF!</f>
        <v>#REF!</v>
      </c>
      <c r="E5" s="69" t="s">
        <v>211</v>
      </c>
      <c r="F5" s="813" t="s">
        <v>235</v>
      </c>
      <c r="G5" s="814"/>
    </row>
    <row r="6" spans="2:10" ht="22.5" customHeight="1" x14ac:dyDescent="0.2">
      <c r="B6" s="572" t="s">
        <v>213</v>
      </c>
      <c r="C6" s="574"/>
      <c r="D6" s="61" t="s">
        <v>214</v>
      </c>
      <c r="E6" s="68" t="s">
        <v>236</v>
      </c>
      <c r="F6" s="815" t="e">
        <f>#REF!</f>
        <v>#REF!</v>
      </c>
      <c r="G6" s="816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4"/>
    </row>
    <row r="10" spans="2:10" ht="22.5" customHeight="1" x14ac:dyDescent="0.2">
      <c r="B10" s="12"/>
      <c r="C10" s="11"/>
      <c r="D10" s="11"/>
      <c r="E10" s="11"/>
      <c r="F10" s="11"/>
      <c r="G10" s="11"/>
    </row>
    <row r="11" spans="2:10" ht="22.5" customHeight="1" x14ac:dyDescent="0.2">
      <c r="D11" s="98" t="s">
        <v>218</v>
      </c>
      <c r="E11" s="98" t="s">
        <v>219</v>
      </c>
      <c r="F11" s="98" t="s">
        <v>220</v>
      </c>
      <c r="G11" s="98" t="s">
        <v>221</v>
      </c>
      <c r="H11" s="98" t="s">
        <v>222</v>
      </c>
      <c r="I11" s="98" t="s">
        <v>223</v>
      </c>
    </row>
    <row r="12" spans="2:10" ht="22.5" customHeight="1" thickBot="1" x14ac:dyDescent="0.25">
      <c r="C12" s="70" t="s">
        <v>519</v>
      </c>
      <c r="D12" s="329">
        <v>12</v>
      </c>
      <c r="E12" s="29">
        <v>11</v>
      </c>
      <c r="F12" s="29">
        <v>11</v>
      </c>
      <c r="G12" s="29">
        <v>2</v>
      </c>
      <c r="H12" s="166">
        <v>7</v>
      </c>
      <c r="I12" s="166">
        <v>7</v>
      </c>
    </row>
    <row r="13" spans="2:10" ht="22.5" customHeight="1" thickBot="1" x14ac:dyDescent="0.25">
      <c r="C13" s="70" t="s">
        <v>520</v>
      </c>
      <c r="D13" s="29">
        <v>10</v>
      </c>
      <c r="E13" s="29">
        <v>11</v>
      </c>
      <c r="F13" s="29">
        <v>11</v>
      </c>
      <c r="G13" s="29">
        <v>2</v>
      </c>
      <c r="H13" s="166">
        <v>6</v>
      </c>
      <c r="I13" s="166">
        <v>7</v>
      </c>
    </row>
    <row r="14" spans="2:10" ht="22.5" customHeight="1" x14ac:dyDescent="0.2">
      <c r="B14" s="28" t="s">
        <v>169</v>
      </c>
      <c r="C14" s="43" t="s">
        <v>226</v>
      </c>
      <c r="D14" s="50">
        <f t="shared" ref="D14:I14" si="0">D13/D12</f>
        <v>0.83333333333333337</v>
      </c>
      <c r="E14" s="50">
        <f t="shared" si="0"/>
        <v>1</v>
      </c>
      <c r="F14" s="50">
        <f t="shared" si="0"/>
        <v>1</v>
      </c>
      <c r="G14" s="50">
        <f t="shared" si="0"/>
        <v>1</v>
      </c>
      <c r="H14" s="50">
        <f t="shared" si="0"/>
        <v>0.8571428571428571</v>
      </c>
      <c r="I14" s="50">
        <f t="shared" si="0"/>
        <v>1</v>
      </c>
    </row>
    <row r="15" spans="2:10" ht="22.5" customHeight="1" x14ac:dyDescent="0.2">
      <c r="B15" s="64"/>
      <c r="C15" s="251" t="s">
        <v>304</v>
      </c>
      <c r="D15" s="52">
        <v>1</v>
      </c>
      <c r="E15" s="52">
        <v>1</v>
      </c>
      <c r="F15" s="52">
        <v>1</v>
      </c>
      <c r="G15" s="52">
        <v>1</v>
      </c>
      <c r="H15" s="52">
        <v>1</v>
      </c>
      <c r="I15" s="52">
        <v>1</v>
      </c>
    </row>
    <row r="17" spans="2:10" ht="19.5" customHeight="1" x14ac:dyDescent="0.2">
      <c r="B17" s="572" t="s">
        <v>227</v>
      </c>
      <c r="C17" s="573"/>
      <c r="D17" s="573"/>
      <c r="E17" s="574"/>
      <c r="F17" s="6"/>
      <c r="G17" s="572" t="s">
        <v>228</v>
      </c>
      <c r="H17" s="573"/>
      <c r="I17" s="573"/>
      <c r="J17" s="574"/>
    </row>
    <row r="18" spans="2:10" ht="19.5" customHeight="1" x14ac:dyDescent="0.2">
      <c r="B18" s="6"/>
      <c r="C18" s="6"/>
      <c r="D18" s="6"/>
      <c r="E18" s="6"/>
      <c r="F18" s="6"/>
      <c r="G18" s="7"/>
      <c r="H18" s="7"/>
      <c r="I18" s="7"/>
      <c r="J18" s="7"/>
    </row>
    <row r="19" spans="2:10" ht="19.5" customHeight="1" x14ac:dyDescent="0.2">
      <c r="B19" s="6"/>
      <c r="C19" s="6"/>
      <c r="D19" s="6"/>
      <c r="E19" s="6"/>
      <c r="F19" s="6"/>
      <c r="G19" s="610" t="s">
        <v>521</v>
      </c>
      <c r="H19" s="560"/>
      <c r="I19" s="560"/>
      <c r="J19" s="561"/>
    </row>
    <row r="20" spans="2:10" ht="19.5" customHeight="1" x14ac:dyDescent="0.2">
      <c r="B20" s="6"/>
      <c r="C20" s="6"/>
      <c r="D20" s="6"/>
      <c r="E20" s="6"/>
      <c r="F20" s="6"/>
      <c r="G20" s="562"/>
      <c r="H20" s="563"/>
      <c r="I20" s="563"/>
      <c r="J20" s="564"/>
    </row>
    <row r="21" spans="2:10" ht="19.5" customHeight="1" x14ac:dyDescent="0.2">
      <c r="B21" s="6"/>
      <c r="C21" s="6"/>
      <c r="D21" s="6"/>
      <c r="E21" s="6"/>
      <c r="F21" s="6"/>
      <c r="G21" s="562"/>
      <c r="H21" s="563"/>
      <c r="I21" s="563"/>
      <c r="J21" s="564"/>
    </row>
    <row r="22" spans="2:10" ht="19.5" customHeight="1" x14ac:dyDescent="0.2">
      <c r="B22" s="6"/>
      <c r="C22" s="6"/>
      <c r="D22" s="6"/>
      <c r="E22" s="6"/>
      <c r="F22" s="6"/>
      <c r="G22" s="562"/>
      <c r="H22" s="563"/>
      <c r="I22" s="563"/>
      <c r="J22" s="564"/>
    </row>
    <row r="23" spans="2:10" ht="19.5" customHeight="1" x14ac:dyDescent="0.2">
      <c r="B23" s="6"/>
      <c r="C23" s="6"/>
      <c r="D23" s="6"/>
      <c r="E23" s="6"/>
      <c r="F23" s="6"/>
      <c r="G23" s="562"/>
      <c r="H23" s="563"/>
      <c r="I23" s="563"/>
      <c r="J23" s="564"/>
    </row>
    <row r="24" spans="2:10" ht="19.5" customHeight="1" x14ac:dyDescent="0.2">
      <c r="B24" s="6"/>
      <c r="C24" s="6"/>
      <c r="D24" s="6"/>
      <c r="E24" s="6"/>
      <c r="F24" s="6"/>
      <c r="G24" s="562"/>
      <c r="H24" s="563"/>
      <c r="I24" s="563"/>
      <c r="J24" s="564"/>
    </row>
    <row r="25" spans="2:10" ht="19.5" customHeight="1" x14ac:dyDescent="0.2">
      <c r="B25" s="6"/>
      <c r="C25" s="6"/>
      <c r="D25" s="6"/>
      <c r="E25" s="6"/>
      <c r="F25" s="6"/>
      <c r="G25" s="562"/>
      <c r="H25" s="563"/>
      <c r="I25" s="563"/>
      <c r="J25" s="564"/>
    </row>
    <row r="26" spans="2:10" ht="19.5" customHeight="1" x14ac:dyDescent="0.2">
      <c r="B26" s="6"/>
      <c r="C26" s="6"/>
      <c r="D26" s="6"/>
      <c r="E26" s="6"/>
      <c r="F26" s="6"/>
      <c r="G26" s="562"/>
      <c r="H26" s="563"/>
      <c r="I26" s="563"/>
      <c r="J26" s="564"/>
    </row>
    <row r="27" spans="2:10" ht="19.5" customHeight="1" x14ac:dyDescent="0.2">
      <c r="B27" s="6"/>
      <c r="C27" s="6"/>
      <c r="D27" s="6"/>
      <c r="E27" s="6"/>
      <c r="F27" s="6"/>
      <c r="G27" s="565"/>
      <c r="H27" s="566"/>
      <c r="I27" s="566"/>
      <c r="J27" s="567"/>
    </row>
    <row r="28" spans="2:10" ht="19.5" customHeight="1" x14ac:dyDescent="0.2">
      <c r="H28" s="121" t="s">
        <v>169</v>
      </c>
    </row>
    <row r="29" spans="2:10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15">
    <mergeCell ref="G19:J27"/>
    <mergeCell ref="H29:J29"/>
    <mergeCell ref="B2:D2"/>
    <mergeCell ref="B4:C4"/>
    <mergeCell ref="F4:G4"/>
    <mergeCell ref="B5:C5"/>
    <mergeCell ref="F5:G5"/>
    <mergeCell ref="B6:C6"/>
    <mergeCell ref="F6:G6"/>
    <mergeCell ref="B9:G9"/>
    <mergeCell ref="B7:C7"/>
    <mergeCell ref="D7:G7"/>
    <mergeCell ref="E2:J2"/>
    <mergeCell ref="B17:E17"/>
    <mergeCell ref="G17:J17"/>
  </mergeCells>
  <pageMargins left="0.7" right="0.7" top="0.75" bottom="0.75" header="0" footer="0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A072-04F7-4DFF-8CCD-8B03E0246C4E}">
  <sheetPr>
    <tabColor theme="9" tint="-0.499984740745262"/>
    <pageSetUpPr fitToPage="1"/>
  </sheetPr>
  <dimension ref="B2:J29"/>
  <sheetViews>
    <sheetView showGridLines="0" topLeftCell="A7" workbookViewId="0">
      <selection activeCell="K21" sqref="K21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12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thickBot="1" x14ac:dyDescent="0.25">
      <c r="D11" s="98" t="s">
        <v>219</v>
      </c>
      <c r="E11" s="98" t="s">
        <v>220</v>
      </c>
      <c r="F11" s="98" t="s">
        <v>221</v>
      </c>
      <c r="G11" s="98" t="s">
        <v>222</v>
      </c>
      <c r="H11" s="98" t="s">
        <v>223</v>
      </c>
      <c r="I11" s="11"/>
      <c r="J11" s="11"/>
    </row>
    <row r="12" spans="2:10" ht="22.5" customHeight="1" thickBot="1" x14ac:dyDescent="0.25">
      <c r="C12" s="253" t="s">
        <v>519</v>
      </c>
      <c r="D12" s="163">
        <v>13</v>
      </c>
      <c r="E12" s="163">
        <v>9</v>
      </c>
      <c r="F12" s="163">
        <v>7</v>
      </c>
      <c r="G12" s="163">
        <v>15</v>
      </c>
      <c r="H12" s="163">
        <v>17</v>
      </c>
      <c r="I12" s="11"/>
      <c r="J12" s="11"/>
    </row>
    <row r="13" spans="2:10" ht="22.5" customHeight="1" thickBot="1" x14ac:dyDescent="0.25">
      <c r="C13" s="167" t="s">
        <v>520</v>
      </c>
      <c r="D13" s="163">
        <v>13</v>
      </c>
      <c r="E13" s="163">
        <v>9</v>
      </c>
      <c r="F13" s="163">
        <v>7</v>
      </c>
      <c r="G13" s="163">
        <v>12</v>
      </c>
      <c r="H13" s="163">
        <v>17</v>
      </c>
      <c r="I13" s="11"/>
      <c r="J13" s="11"/>
    </row>
    <row r="14" spans="2:10" ht="22.5" customHeight="1" x14ac:dyDescent="0.2">
      <c r="B14" s="28" t="s">
        <v>169</v>
      </c>
      <c r="C14" s="43" t="s">
        <v>226</v>
      </c>
      <c r="D14" s="50">
        <f>D13/D12</f>
        <v>1</v>
      </c>
      <c r="E14" s="50">
        <f t="shared" ref="E14:G14" si="0">E13/E12</f>
        <v>1</v>
      </c>
      <c r="F14" s="50">
        <f t="shared" si="0"/>
        <v>1</v>
      </c>
      <c r="G14" s="50">
        <f t="shared" si="0"/>
        <v>0.8</v>
      </c>
      <c r="H14" s="50">
        <f t="shared" ref="H14" si="1">H13/H12</f>
        <v>1</v>
      </c>
    </row>
    <row r="15" spans="2:10" ht="22.5" customHeight="1" x14ac:dyDescent="0.2">
      <c r="B15" s="64"/>
      <c r="C15" s="251" t="s">
        <v>522</v>
      </c>
      <c r="D15" s="52">
        <v>1</v>
      </c>
      <c r="E15" s="52">
        <v>1</v>
      </c>
      <c r="F15" s="52">
        <v>1</v>
      </c>
      <c r="G15" s="52">
        <v>1</v>
      </c>
      <c r="H15" s="52">
        <v>1</v>
      </c>
    </row>
    <row r="17" spans="2:10" ht="22.5" customHeight="1" x14ac:dyDescent="0.2">
      <c r="B17" s="572" t="s">
        <v>227</v>
      </c>
      <c r="C17" s="573"/>
      <c r="D17" s="573"/>
      <c r="E17" s="574"/>
      <c r="F17" s="6"/>
      <c r="G17" s="572" t="s">
        <v>228</v>
      </c>
      <c r="H17" s="573"/>
      <c r="I17" s="573"/>
      <c r="J17" s="574"/>
    </row>
    <row r="18" spans="2:10" ht="22.5" customHeight="1" x14ac:dyDescent="0.2">
      <c r="B18" s="6"/>
      <c r="C18" s="6"/>
      <c r="D18" s="6"/>
      <c r="E18" s="6"/>
      <c r="F18" s="6"/>
      <c r="G18" s="7"/>
      <c r="H18" s="7"/>
      <c r="I18" s="7"/>
      <c r="J18" s="7"/>
    </row>
    <row r="19" spans="2:10" ht="22.5" customHeight="1" x14ac:dyDescent="0.2">
      <c r="B19" s="6"/>
      <c r="C19" s="6"/>
      <c r="D19" s="6"/>
      <c r="E19" s="6"/>
      <c r="F19" s="6"/>
      <c r="G19" s="610" t="s">
        <v>523</v>
      </c>
      <c r="H19" s="560"/>
      <c r="I19" s="560"/>
      <c r="J19" s="561"/>
    </row>
    <row r="20" spans="2:10" ht="6" customHeight="1" x14ac:dyDescent="0.2">
      <c r="B20" s="6"/>
      <c r="C20" s="6"/>
      <c r="D20" s="6"/>
      <c r="E20" s="6"/>
      <c r="F20" s="6"/>
      <c r="G20" s="562"/>
      <c r="H20" s="563"/>
      <c r="I20" s="563"/>
      <c r="J20" s="564"/>
    </row>
    <row r="21" spans="2:10" ht="19.5" customHeight="1" x14ac:dyDescent="0.2">
      <c r="B21" s="6"/>
      <c r="C21" s="6"/>
      <c r="D21" s="6"/>
      <c r="E21" s="6"/>
      <c r="F21" s="6"/>
      <c r="G21" s="562"/>
      <c r="H21" s="563"/>
      <c r="I21" s="563"/>
      <c r="J21" s="564"/>
    </row>
    <row r="22" spans="2:10" ht="19.5" customHeight="1" x14ac:dyDescent="0.2">
      <c r="B22" s="6"/>
      <c r="C22" s="6"/>
      <c r="D22" s="6"/>
      <c r="E22" s="6"/>
      <c r="F22" s="6"/>
      <c r="G22" s="562"/>
      <c r="H22" s="563"/>
      <c r="I22" s="563"/>
      <c r="J22" s="564"/>
    </row>
    <row r="23" spans="2:10" ht="19.5" customHeight="1" x14ac:dyDescent="0.2">
      <c r="B23" s="6"/>
      <c r="C23" s="6"/>
      <c r="D23" s="6"/>
      <c r="E23" s="6"/>
      <c r="F23" s="6"/>
      <c r="G23" s="562"/>
      <c r="H23" s="563"/>
      <c r="I23" s="563"/>
      <c r="J23" s="564"/>
    </row>
    <row r="24" spans="2:10" ht="19.5" customHeight="1" x14ac:dyDescent="0.2">
      <c r="B24" s="6"/>
      <c r="C24" s="6"/>
      <c r="D24" s="6"/>
      <c r="E24" s="6"/>
      <c r="F24" s="6"/>
      <c r="G24" s="562"/>
      <c r="H24" s="563"/>
      <c r="I24" s="563"/>
      <c r="J24" s="564"/>
    </row>
    <row r="25" spans="2:10" ht="19.5" customHeight="1" x14ac:dyDescent="0.2">
      <c r="B25" s="6"/>
      <c r="C25" s="6"/>
      <c r="D25" s="6"/>
      <c r="E25" s="6"/>
      <c r="F25" s="6"/>
      <c r="G25" s="562"/>
      <c r="H25" s="563"/>
      <c r="I25" s="563"/>
      <c r="J25" s="564"/>
    </row>
    <row r="26" spans="2:10" ht="19.5" customHeight="1" x14ac:dyDescent="0.2">
      <c r="B26" s="6"/>
      <c r="C26" s="6"/>
      <c r="D26" s="6"/>
      <c r="E26" s="6"/>
      <c r="F26" s="6"/>
      <c r="G26" s="562"/>
      <c r="H26" s="563"/>
      <c r="I26" s="563"/>
      <c r="J26" s="564"/>
    </row>
    <row r="27" spans="2:10" ht="19.5" customHeight="1" x14ac:dyDescent="0.2">
      <c r="B27" s="6"/>
      <c r="C27" s="6"/>
      <c r="D27" s="6"/>
      <c r="E27" s="6"/>
      <c r="F27" s="6"/>
      <c r="G27" s="565"/>
      <c r="H27" s="566"/>
      <c r="I27" s="566"/>
      <c r="J27" s="567"/>
    </row>
    <row r="28" spans="2:10" ht="19.5" customHeight="1" x14ac:dyDescent="0.2"/>
    <row r="29" spans="2:10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0">
    <mergeCell ref="B17:E17"/>
    <mergeCell ref="G17:J17"/>
    <mergeCell ref="G19:J27"/>
    <mergeCell ref="H29:J29"/>
    <mergeCell ref="B9:J9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1F8C-90FD-48FA-B0FC-C7218E91DB0F}">
  <sheetPr>
    <tabColor theme="9" tint="-0.499984740745262"/>
    <pageSetUpPr fitToPage="1"/>
  </sheetPr>
  <dimension ref="B2:J28"/>
  <sheetViews>
    <sheetView showGridLines="0" topLeftCell="A9" workbookViewId="0">
      <selection activeCell="H13" sqref="H1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4.42578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12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D11" s="98" t="s">
        <v>218</v>
      </c>
      <c r="E11" s="98" t="s">
        <v>219</v>
      </c>
      <c r="F11" s="98" t="s">
        <v>220</v>
      </c>
      <c r="G11" s="98" t="s">
        <v>221</v>
      </c>
      <c r="H11" s="98" t="s">
        <v>222</v>
      </c>
      <c r="I11" s="98" t="s">
        <v>223</v>
      </c>
      <c r="J11" s="11"/>
    </row>
    <row r="12" spans="2:10" ht="22.5" customHeight="1" x14ac:dyDescent="0.2">
      <c r="C12" s="70" t="s">
        <v>508</v>
      </c>
      <c r="D12" s="55">
        <v>0.8</v>
      </c>
      <c r="E12" s="55">
        <v>0.82</v>
      </c>
      <c r="F12" s="55">
        <v>1</v>
      </c>
      <c r="G12" s="55">
        <v>1</v>
      </c>
      <c r="H12" s="55">
        <v>1</v>
      </c>
      <c r="I12" s="55">
        <v>1</v>
      </c>
      <c r="J12" s="11"/>
    </row>
    <row r="13" spans="2:10" ht="22.5" customHeight="1" x14ac:dyDescent="0.2">
      <c r="B13" s="28" t="s">
        <v>169</v>
      </c>
      <c r="C13" s="330" t="s">
        <v>226</v>
      </c>
      <c r="D13" s="57">
        <f>D12</f>
        <v>0.8</v>
      </c>
      <c r="E13" s="57">
        <f t="shared" ref="E13:G13" si="0">E12</f>
        <v>0.82</v>
      </c>
      <c r="F13" s="57">
        <f t="shared" si="0"/>
        <v>1</v>
      </c>
      <c r="G13" s="57">
        <f t="shared" si="0"/>
        <v>1</v>
      </c>
      <c r="H13" s="57">
        <f t="shared" ref="H13:I13" si="1">H12</f>
        <v>1</v>
      </c>
      <c r="I13" s="57">
        <f t="shared" si="1"/>
        <v>1</v>
      </c>
    </row>
    <row r="14" spans="2:10" ht="22.5" customHeight="1" x14ac:dyDescent="0.2">
      <c r="B14" s="64"/>
      <c r="C14" s="251" t="s">
        <v>522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</row>
    <row r="15" spans="2:10" ht="22.5" customHeight="1" x14ac:dyDescent="0.2">
      <c r="B15" s="64"/>
      <c r="C15" s="65"/>
      <c r="D15" s="64"/>
      <c r="E15" s="64"/>
      <c r="F15" s="64"/>
      <c r="G15" s="11"/>
    </row>
    <row r="16" spans="2:10" ht="22.5" customHeight="1" x14ac:dyDescent="0.2">
      <c r="B16" s="572" t="s">
        <v>227</v>
      </c>
      <c r="C16" s="573"/>
      <c r="D16" s="573"/>
      <c r="E16" s="574"/>
      <c r="F16" s="6"/>
      <c r="G16" s="572" t="s">
        <v>228</v>
      </c>
      <c r="H16" s="573"/>
      <c r="I16" s="573"/>
      <c r="J16" s="574"/>
    </row>
    <row r="18" spans="7:10" ht="22.5" customHeight="1" x14ac:dyDescent="0.2">
      <c r="G18" s="610" t="s">
        <v>524</v>
      </c>
      <c r="H18" s="560"/>
      <c r="I18" s="560"/>
      <c r="J18" s="561"/>
    </row>
    <row r="19" spans="7:10" ht="6" customHeight="1" x14ac:dyDescent="0.2">
      <c r="G19" s="562"/>
      <c r="H19" s="563"/>
      <c r="I19" s="563"/>
      <c r="J19" s="564"/>
    </row>
    <row r="20" spans="7:10" ht="19.5" customHeight="1" x14ac:dyDescent="0.2">
      <c r="G20" s="562"/>
      <c r="H20" s="563"/>
      <c r="I20" s="563"/>
      <c r="J20" s="564"/>
    </row>
    <row r="21" spans="7:10" ht="19.5" customHeight="1" x14ac:dyDescent="0.2">
      <c r="G21" s="562"/>
      <c r="H21" s="563"/>
      <c r="I21" s="563"/>
      <c r="J21" s="564"/>
    </row>
    <row r="22" spans="7:10" ht="19.5" customHeight="1" x14ac:dyDescent="0.2">
      <c r="G22" s="562"/>
      <c r="H22" s="563"/>
      <c r="I22" s="563"/>
      <c r="J22" s="564"/>
    </row>
    <row r="23" spans="7:10" ht="19.5" customHeight="1" x14ac:dyDescent="0.2">
      <c r="G23" s="562"/>
      <c r="H23" s="563"/>
      <c r="I23" s="563"/>
      <c r="J23" s="564"/>
    </row>
    <row r="24" spans="7:10" ht="19.5" customHeight="1" x14ac:dyDescent="0.2">
      <c r="G24" s="562"/>
      <c r="H24" s="563"/>
      <c r="I24" s="563"/>
      <c r="J24" s="564"/>
    </row>
    <row r="25" spans="7:10" ht="19.5" customHeight="1" x14ac:dyDescent="0.2">
      <c r="G25" s="562"/>
      <c r="H25" s="563"/>
      <c r="I25" s="563"/>
      <c r="J25" s="564"/>
    </row>
    <row r="26" spans="7:10" ht="19.5" customHeight="1" x14ac:dyDescent="0.2">
      <c r="G26" s="565"/>
      <c r="H26" s="566"/>
      <c r="I26" s="566"/>
      <c r="J26" s="567"/>
    </row>
    <row r="27" spans="7:10" ht="19.5" customHeight="1" x14ac:dyDescent="0.2"/>
    <row r="28" spans="7:10" ht="19.5" customHeight="1" x14ac:dyDescent="0.2">
      <c r="H28" s="568" t="s">
        <v>169</v>
      </c>
      <c r="I28" s="569"/>
      <c r="J28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28:J28"/>
    <mergeCell ref="B7:C7"/>
    <mergeCell ref="D7:J7"/>
    <mergeCell ref="B9:J9"/>
    <mergeCell ref="B16:E16"/>
    <mergeCell ref="G16:J16"/>
    <mergeCell ref="G18:J26"/>
  </mergeCells>
  <pageMargins left="0.7" right="0.7" top="0.75" bottom="0.7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9181-C417-45B4-B3BD-07164E145844}">
  <sheetPr>
    <tabColor theme="9" tint="-0.499984740745262"/>
    <pageSetUpPr fitToPage="1"/>
  </sheetPr>
  <dimension ref="B2:N28"/>
  <sheetViews>
    <sheetView showGridLines="0" workbookViewId="0">
      <selection activeCell="H6" sqref="H6:J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4" ht="55.5" customHeight="1" x14ac:dyDescent="0.25">
      <c r="B2" s="543"/>
      <c r="C2" s="544"/>
      <c r="D2" s="545"/>
      <c r="E2" s="546" t="s">
        <v>207</v>
      </c>
      <c r="F2" s="544"/>
      <c r="G2" s="544"/>
      <c r="H2" s="544"/>
      <c r="I2" s="544"/>
      <c r="J2" s="545"/>
      <c r="K2" s="1"/>
      <c r="L2" s="1"/>
      <c r="M2" s="1"/>
    </row>
    <row r="3" spans="2:14" ht="22.5" customHeight="1" x14ac:dyDescent="0.25">
      <c r="B3" s="281"/>
      <c r="C3" s="281"/>
      <c r="D3" s="282"/>
      <c r="E3" s="282"/>
      <c r="F3" s="282"/>
      <c r="G3" s="282"/>
      <c r="H3" s="282"/>
      <c r="I3" s="282"/>
      <c r="J3" s="279"/>
    </row>
    <row r="4" spans="2:14" ht="42.75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48"/>
      <c r="H4" s="575" t="e">
        <f>#REF!</f>
        <v>#REF!</v>
      </c>
      <c r="I4" s="576"/>
      <c r="J4" s="577"/>
    </row>
    <row r="5" spans="2:14" ht="22.5" customHeight="1" x14ac:dyDescent="0.25">
      <c r="B5" s="547" t="s">
        <v>229</v>
      </c>
      <c r="C5" s="548"/>
      <c r="D5" s="578" t="e">
        <f>#REF!</f>
        <v>#REF!</v>
      </c>
      <c r="E5" s="551"/>
      <c r="F5" s="552" t="s">
        <v>211</v>
      </c>
      <c r="G5" s="548"/>
      <c r="H5" s="575" t="s">
        <v>230</v>
      </c>
      <c r="I5" s="576"/>
      <c r="J5" s="577"/>
    </row>
    <row r="6" spans="2:14" ht="22.5" customHeight="1" x14ac:dyDescent="0.25">
      <c r="B6" s="547" t="s">
        <v>213</v>
      </c>
      <c r="C6" s="548"/>
      <c r="D6" s="549" t="s">
        <v>214</v>
      </c>
      <c r="E6" s="545"/>
      <c r="F6" s="547" t="s">
        <v>215</v>
      </c>
      <c r="G6" s="548"/>
      <c r="H6" s="579" t="e">
        <f>#REF!</f>
        <v>#REF!</v>
      </c>
      <c r="I6" s="580"/>
      <c r="J6" s="551"/>
    </row>
    <row r="7" spans="2:14" ht="22.5" customHeight="1" x14ac:dyDescent="0.25">
      <c r="B7" s="547" t="s">
        <v>216</v>
      </c>
      <c r="C7" s="548"/>
      <c r="D7" s="549" t="e">
        <f>#REF!</f>
        <v>#REF!</v>
      </c>
      <c r="E7" s="544"/>
      <c r="F7" s="544"/>
      <c r="G7" s="544"/>
      <c r="H7" s="544"/>
      <c r="I7" s="544"/>
      <c r="J7" s="545"/>
      <c r="K7" s="2"/>
    </row>
    <row r="8" spans="2:14" ht="7.5" customHeight="1" x14ac:dyDescent="0.25">
      <c r="B8" s="279"/>
      <c r="C8" s="279"/>
      <c r="D8" s="279"/>
      <c r="E8" s="279"/>
      <c r="F8" s="279"/>
      <c r="G8" s="279"/>
      <c r="H8" s="279"/>
      <c r="I8" s="279"/>
      <c r="J8" s="279"/>
    </row>
    <row r="9" spans="2:14" ht="22.5" customHeight="1" x14ac:dyDescent="0.25">
      <c r="B9" s="547" t="s">
        <v>217</v>
      </c>
      <c r="C9" s="556"/>
      <c r="D9" s="556"/>
      <c r="E9" s="556"/>
      <c r="F9" s="556"/>
      <c r="G9" s="556"/>
      <c r="H9" s="556"/>
      <c r="I9" s="556"/>
      <c r="J9" s="548"/>
      <c r="K9" s="3"/>
    </row>
    <row r="10" spans="2:14" ht="22.5" customHeight="1" x14ac:dyDescent="0.25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4" ht="22.5" customHeight="1" x14ac:dyDescent="0.25">
      <c r="B11" s="286"/>
      <c r="C11" s="286"/>
      <c r="D11" s="287" t="s">
        <v>218</v>
      </c>
      <c r="E11" s="287" t="s">
        <v>219</v>
      </c>
      <c r="F11" s="287" t="s">
        <v>220</v>
      </c>
      <c r="G11" s="287" t="s">
        <v>221</v>
      </c>
      <c r="H11" s="287" t="s">
        <v>222</v>
      </c>
      <c r="I11" s="287" t="s">
        <v>223</v>
      </c>
      <c r="J11" s="279"/>
    </row>
    <row r="12" spans="2:14" ht="23.25" customHeight="1" x14ac:dyDescent="0.25">
      <c r="B12" s="570" t="s">
        <v>224</v>
      </c>
      <c r="C12" s="545"/>
      <c r="D12" s="289" t="s">
        <v>231</v>
      </c>
      <c r="E12" s="288" t="s">
        <v>231</v>
      </c>
      <c r="F12" s="289" t="s">
        <v>231</v>
      </c>
      <c r="G12" s="290" t="s">
        <v>231</v>
      </c>
      <c r="H12" s="290">
        <v>0.9</v>
      </c>
      <c r="I12" s="290">
        <v>0.97</v>
      </c>
      <c r="J12" s="279"/>
    </row>
    <row r="13" spans="2:14" ht="22.5" customHeight="1" x14ac:dyDescent="0.25">
      <c r="B13" s="571" t="s">
        <v>225</v>
      </c>
      <c r="C13" s="545"/>
      <c r="D13" s="288" t="e">
        <f>#REF!</f>
        <v>#REF!</v>
      </c>
      <c r="E13" s="288" t="e">
        <f>#REF!</f>
        <v>#REF!</v>
      </c>
      <c r="F13" s="288" t="e">
        <f>#REF!</f>
        <v>#REF!</v>
      </c>
      <c r="G13" s="288" t="e">
        <f>#REF!</f>
        <v>#REF!</v>
      </c>
      <c r="H13" s="288" t="e">
        <f>#REF!</f>
        <v>#REF!</v>
      </c>
      <c r="I13" s="288" t="e">
        <f>#REF!</f>
        <v>#REF!</v>
      </c>
      <c r="J13" s="279"/>
    </row>
    <row r="14" spans="2:14" ht="22.5" customHeight="1" x14ac:dyDescent="0.25">
      <c r="B14" s="571" t="s">
        <v>226</v>
      </c>
      <c r="C14" s="545"/>
      <c r="D14" s="289" t="s">
        <v>231</v>
      </c>
      <c r="E14" s="289" t="s">
        <v>231</v>
      </c>
      <c r="F14" s="289" t="s">
        <v>231</v>
      </c>
      <c r="G14" s="290" t="s">
        <v>231</v>
      </c>
      <c r="H14" s="290" t="e">
        <f t="shared" ref="H14:I14" si="0">H12/H13</f>
        <v>#REF!</v>
      </c>
      <c r="I14" s="290" t="e">
        <f t="shared" si="0"/>
        <v>#REF!</v>
      </c>
      <c r="J14" s="279"/>
    </row>
    <row r="15" spans="2:14" ht="9.75" customHeight="1" x14ac:dyDescent="0.3">
      <c r="B15" s="291"/>
      <c r="C15" s="291"/>
      <c r="D15" s="286"/>
      <c r="E15" s="286"/>
      <c r="F15" s="286"/>
      <c r="G15" s="286"/>
      <c r="H15" s="286"/>
      <c r="I15" s="286"/>
      <c r="J15" s="286"/>
    </row>
    <row r="16" spans="2:14" ht="22.5" customHeight="1" x14ac:dyDescent="0.25">
      <c r="B16" s="547" t="s">
        <v>227</v>
      </c>
      <c r="C16" s="556"/>
      <c r="D16" s="556"/>
      <c r="E16" s="548"/>
      <c r="F16" s="292"/>
      <c r="G16" s="279"/>
      <c r="H16" s="279"/>
      <c r="I16" s="279"/>
      <c r="J16" s="279"/>
      <c r="K16" s="572" t="s">
        <v>228</v>
      </c>
      <c r="L16" s="573"/>
      <c r="M16" s="573"/>
      <c r="N16" s="574"/>
    </row>
    <row r="18" spans="8:14" ht="22.5" customHeight="1" x14ac:dyDescent="0.2">
      <c r="K18" s="559" t="s">
        <v>169</v>
      </c>
      <c r="L18" s="560"/>
      <c r="M18" s="560"/>
      <c r="N18" s="561"/>
    </row>
    <row r="19" spans="8:14" ht="22.5" customHeight="1" x14ac:dyDescent="0.2">
      <c r="K19" s="562"/>
      <c r="L19" s="563"/>
      <c r="M19" s="563"/>
      <c r="N19" s="564"/>
    </row>
    <row r="20" spans="8:14" ht="22.5" customHeight="1" x14ac:dyDescent="0.2">
      <c r="K20" s="562"/>
      <c r="L20" s="563"/>
      <c r="M20" s="563"/>
      <c r="N20" s="564"/>
    </row>
    <row r="21" spans="8:14" ht="22.5" customHeight="1" x14ac:dyDescent="0.2">
      <c r="K21" s="562"/>
      <c r="L21" s="563"/>
      <c r="M21" s="563"/>
      <c r="N21" s="564"/>
    </row>
    <row r="22" spans="8:14" ht="22.5" customHeight="1" x14ac:dyDescent="0.2">
      <c r="K22" s="562"/>
      <c r="L22" s="563"/>
      <c r="M22" s="563"/>
      <c r="N22" s="564"/>
    </row>
    <row r="23" spans="8:14" ht="22.5" customHeight="1" x14ac:dyDescent="0.2">
      <c r="K23" s="562"/>
      <c r="L23" s="563"/>
      <c r="M23" s="563"/>
      <c r="N23" s="564"/>
    </row>
    <row r="24" spans="8:14" ht="22.5" customHeight="1" x14ac:dyDescent="0.2">
      <c r="K24" s="562"/>
      <c r="L24" s="563"/>
      <c r="M24" s="563"/>
      <c r="N24" s="564"/>
    </row>
    <row r="25" spans="8:14" ht="22.5" customHeight="1" x14ac:dyDescent="0.2">
      <c r="K25" s="562"/>
      <c r="L25" s="563"/>
      <c r="M25" s="563"/>
      <c r="N25" s="564"/>
    </row>
    <row r="26" spans="8:14" ht="22.5" customHeight="1" x14ac:dyDescent="0.2">
      <c r="K26" s="565"/>
      <c r="L26" s="566"/>
      <c r="M26" s="566"/>
      <c r="N26" s="567"/>
    </row>
    <row r="27" spans="8:14" ht="6" customHeight="1" x14ac:dyDescent="0.2"/>
    <row r="28" spans="8:14" ht="19.5" customHeight="1" x14ac:dyDescent="0.2">
      <c r="H28" s="568" t="s">
        <v>169</v>
      </c>
      <c r="I28" s="569"/>
      <c r="J28" s="569"/>
    </row>
  </sheetData>
  <sheetProtection algorithmName="SHA-512" hashValue="kn3Qc97rUThKbo3v6j6nq9Ih3/WlevPDdQ/G6JS7u33q2V+/DlqS3DpX8pAXL0GlDXh0jLLSlIPKmYMOqL1Vtg==" saltValue="+RapAaFQ3imo0UN7Ncz/gA==" spinCount="100000" sheet="1" formatCells="0" formatColumns="0" formatRows="0" insertColumns="0" insertRows="0" insertHyperlinks="0" deleteColumns="0" deleteRows="0" pivotTables="0"/>
  <mergeCells count="24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6:J6"/>
    <mergeCell ref="B16:E16"/>
    <mergeCell ref="K16:N16"/>
    <mergeCell ref="K18:N26"/>
    <mergeCell ref="H28:J28"/>
    <mergeCell ref="B7:C7"/>
    <mergeCell ref="D7:J7"/>
    <mergeCell ref="B9:J9"/>
    <mergeCell ref="B12:C12"/>
    <mergeCell ref="B13:C13"/>
    <mergeCell ref="B14:C14"/>
  </mergeCells>
  <pageMargins left="0.7" right="0.7" top="0.75" bottom="0.75" header="0" footer="0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13C6-49B4-43D3-ACAA-4AEAEDED5F58}">
  <sheetPr>
    <tabColor theme="9" tint="-0.499984740745262"/>
    <pageSetUpPr fitToPage="1"/>
  </sheetPr>
  <dimension ref="B2:J28"/>
  <sheetViews>
    <sheetView showGridLines="0" topLeftCell="A12" workbookViewId="0">
      <selection activeCell="I14" sqref="I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12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D11" s="100" t="s">
        <v>218</v>
      </c>
      <c r="E11" s="100" t="s">
        <v>219</v>
      </c>
      <c r="F11" s="100" t="s">
        <v>220</v>
      </c>
      <c r="G11" s="100" t="s">
        <v>221</v>
      </c>
      <c r="H11" s="100" t="s">
        <v>222</v>
      </c>
      <c r="I11" s="100" t="s">
        <v>223</v>
      </c>
      <c r="J11" s="11"/>
    </row>
    <row r="12" spans="2:10" ht="22.5" customHeight="1" x14ac:dyDescent="0.2">
      <c r="C12" s="70" t="s">
        <v>525</v>
      </c>
      <c r="D12" s="29" t="s">
        <v>232</v>
      </c>
      <c r="E12" s="29">
        <v>11.19</v>
      </c>
      <c r="F12" s="29">
        <v>8.0500000000000007</v>
      </c>
      <c r="G12" s="29">
        <v>3.94</v>
      </c>
      <c r="H12" s="29">
        <v>5.72</v>
      </c>
      <c r="I12" s="29">
        <v>3.8</v>
      </c>
      <c r="J12" s="11"/>
    </row>
    <row r="13" spans="2:10" ht="22.5" customHeight="1" x14ac:dyDescent="0.2">
      <c r="B13" s="28" t="s">
        <v>169</v>
      </c>
      <c r="C13" s="43" t="s">
        <v>226</v>
      </c>
      <c r="D13" s="50">
        <f>COUNTIF(D12,"&lt;015")</f>
        <v>0</v>
      </c>
      <c r="E13" s="50">
        <f t="shared" ref="E13:G13" si="0">COUNTIF(E12,"&lt;015")</f>
        <v>1</v>
      </c>
      <c r="F13" s="50">
        <f t="shared" si="0"/>
        <v>1</v>
      </c>
      <c r="G13" s="50">
        <f t="shared" si="0"/>
        <v>1</v>
      </c>
      <c r="H13" s="50">
        <f t="shared" ref="H13:I13" si="1">COUNTIF(H12,"&lt;015")</f>
        <v>1</v>
      </c>
      <c r="I13" s="50">
        <f t="shared" si="1"/>
        <v>1</v>
      </c>
    </row>
    <row r="14" spans="2:10" ht="22.5" customHeight="1" x14ac:dyDescent="0.2">
      <c r="B14" s="64"/>
      <c r="C14" s="251" t="s">
        <v>522</v>
      </c>
      <c r="D14" s="25">
        <v>15</v>
      </c>
      <c r="E14" s="25">
        <v>15</v>
      </c>
      <c r="F14" s="25">
        <v>15</v>
      </c>
      <c r="G14" s="25">
        <v>15</v>
      </c>
      <c r="H14" s="25">
        <v>15</v>
      </c>
      <c r="I14" s="25">
        <v>15</v>
      </c>
    </row>
    <row r="15" spans="2:10" ht="22.5" customHeight="1" x14ac:dyDescent="0.2">
      <c r="B15" s="64"/>
      <c r="C15" s="65"/>
      <c r="D15" s="64"/>
      <c r="E15" s="64"/>
      <c r="F15" s="64"/>
      <c r="G15" s="11"/>
    </row>
    <row r="16" spans="2:10" ht="22.5" customHeight="1" x14ac:dyDescent="0.2">
      <c r="B16" s="572" t="s">
        <v>227</v>
      </c>
      <c r="C16" s="573"/>
      <c r="D16" s="573"/>
      <c r="E16" s="574"/>
      <c r="F16" s="6"/>
      <c r="G16" s="572" t="s">
        <v>228</v>
      </c>
      <c r="H16" s="573"/>
      <c r="I16" s="573"/>
      <c r="J16" s="574"/>
    </row>
    <row r="18" spans="7:10" ht="22.5" customHeight="1" x14ac:dyDescent="0.2">
      <c r="G18" s="610" t="s">
        <v>524</v>
      </c>
      <c r="H18" s="560"/>
      <c r="I18" s="560"/>
      <c r="J18" s="561"/>
    </row>
    <row r="19" spans="7:10" ht="6" customHeight="1" x14ac:dyDescent="0.2">
      <c r="G19" s="562"/>
      <c r="H19" s="563"/>
      <c r="I19" s="563"/>
      <c r="J19" s="564"/>
    </row>
    <row r="20" spans="7:10" ht="19.5" customHeight="1" x14ac:dyDescent="0.2">
      <c r="G20" s="562"/>
      <c r="H20" s="563"/>
      <c r="I20" s="563"/>
      <c r="J20" s="564"/>
    </row>
    <row r="21" spans="7:10" ht="19.5" customHeight="1" x14ac:dyDescent="0.2">
      <c r="G21" s="562"/>
      <c r="H21" s="563"/>
      <c r="I21" s="563"/>
      <c r="J21" s="564"/>
    </row>
    <row r="22" spans="7:10" ht="19.5" customHeight="1" x14ac:dyDescent="0.2">
      <c r="G22" s="562"/>
      <c r="H22" s="563"/>
      <c r="I22" s="563"/>
      <c r="J22" s="564"/>
    </row>
    <row r="23" spans="7:10" ht="19.5" customHeight="1" x14ac:dyDescent="0.2">
      <c r="G23" s="562"/>
      <c r="H23" s="563"/>
      <c r="I23" s="563"/>
      <c r="J23" s="564"/>
    </row>
    <row r="24" spans="7:10" ht="19.5" customHeight="1" x14ac:dyDescent="0.2">
      <c r="G24" s="562"/>
      <c r="H24" s="563"/>
      <c r="I24" s="563"/>
      <c r="J24" s="564"/>
    </row>
    <row r="25" spans="7:10" ht="19.5" customHeight="1" x14ac:dyDescent="0.2">
      <c r="G25" s="562"/>
      <c r="H25" s="563"/>
      <c r="I25" s="563"/>
      <c r="J25" s="564"/>
    </row>
    <row r="26" spans="7:10" ht="19.5" customHeight="1" x14ac:dyDescent="0.2">
      <c r="G26" s="565"/>
      <c r="H26" s="566"/>
      <c r="I26" s="566"/>
      <c r="J26" s="567"/>
    </row>
    <row r="27" spans="7:10" ht="19.5" customHeight="1" x14ac:dyDescent="0.2"/>
    <row r="28" spans="7:10" ht="19.5" customHeight="1" x14ac:dyDescent="0.2">
      <c r="H28" s="568" t="s">
        <v>169</v>
      </c>
      <c r="I28" s="569"/>
      <c r="J28" s="569"/>
    </row>
  </sheetData>
  <sheetProtection sheet="1" formatCells="0" formatColumns="0" formatRows="0" insertColumns="0" insertRows="0" insertHyperlinks="0" deleteColumns="0" deleteRows="0" pivotTables="0"/>
  <mergeCells count="20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28:J28"/>
    <mergeCell ref="B7:C7"/>
    <mergeCell ref="D7:J7"/>
    <mergeCell ref="B9:J9"/>
    <mergeCell ref="B16:E16"/>
    <mergeCell ref="G16:J16"/>
    <mergeCell ref="G18:J26"/>
  </mergeCells>
  <pageMargins left="0.7" right="0.7" top="0.75" bottom="0.75" header="0" footer="0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F90A-8461-4DBC-951C-A54D63C89539}">
  <sheetPr>
    <tabColor theme="9" tint="-0.499984740745262"/>
    <pageSetUpPr fitToPage="1"/>
  </sheetPr>
  <dimension ref="B2:O74"/>
  <sheetViews>
    <sheetView showGridLines="0" topLeftCell="A57" workbookViewId="0">
      <selection activeCell="F58" sqref="F58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6.5703125" customWidth="1"/>
    <col min="4" max="4" width="17.28515625" bestFit="1" customWidth="1"/>
    <col min="5" max="9" width="12.5703125" customWidth="1"/>
    <col min="10" max="11" width="14.85546875" customWidth="1"/>
    <col min="12" max="12" width="11.42578125" customWidth="1"/>
    <col min="13" max="13" width="10.85546875" customWidth="1"/>
    <col min="14" max="14" width="12.140625" customWidth="1"/>
    <col min="15" max="15" width="13.28515625" customWidth="1"/>
    <col min="16" max="21" width="7.5703125" customWidth="1"/>
  </cols>
  <sheetData>
    <row r="2" spans="2:15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  <c r="K2" s="11"/>
    </row>
    <row r="3" spans="2:15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5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646"/>
      <c r="H4" s="649" t="e">
        <f>#REF!</f>
        <v>#REF!</v>
      </c>
      <c r="I4" s="650"/>
      <c r="J4" s="658"/>
      <c r="K4" s="11"/>
    </row>
    <row r="5" spans="2:15" ht="22.5" customHeight="1" x14ac:dyDescent="0.2">
      <c r="B5" s="572" t="s">
        <v>362</v>
      </c>
      <c r="C5" s="574"/>
      <c r="D5" s="649" t="e">
        <f>#REF!</f>
        <v>#REF!</v>
      </c>
      <c r="E5" s="658"/>
      <c r="F5" s="687" t="s">
        <v>211</v>
      </c>
      <c r="G5" s="817"/>
      <c r="H5" s="745" t="s">
        <v>235</v>
      </c>
      <c r="I5" s="650"/>
      <c r="J5" s="612"/>
      <c r="K5" s="11"/>
    </row>
    <row r="6" spans="2:15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646"/>
      <c r="H6" s="10" t="e">
        <f>#REF!</f>
        <v>#REF!</v>
      </c>
      <c r="J6" s="103"/>
    </row>
    <row r="7" spans="2:15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  <c r="K7" s="11"/>
    </row>
    <row r="8" spans="2:15" ht="7.5" customHeight="1" x14ac:dyDescent="0.2"/>
    <row r="9" spans="2:15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  <c r="K9" s="254"/>
    </row>
    <row r="10" spans="2:15" ht="22.5" customHeight="1" thickBo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</row>
    <row r="11" spans="2:15" ht="22.5" customHeight="1" thickBot="1" x14ac:dyDescent="0.25">
      <c r="B11" s="822" t="s">
        <v>526</v>
      </c>
      <c r="C11" s="824" t="s">
        <v>527</v>
      </c>
      <c r="D11" s="826" t="s">
        <v>528</v>
      </c>
      <c r="E11" s="827"/>
      <c r="F11" s="827"/>
      <c r="G11" s="828"/>
      <c r="H11" s="819" t="s">
        <v>529</v>
      </c>
      <c r="I11" s="820"/>
      <c r="J11" s="820"/>
      <c r="K11" s="829"/>
      <c r="L11" s="819" t="s">
        <v>530</v>
      </c>
      <c r="M11" s="820"/>
      <c r="N11" s="820"/>
      <c r="O11" s="821"/>
    </row>
    <row r="12" spans="2:15" ht="22.5" customHeight="1" thickBot="1" x14ac:dyDescent="0.25">
      <c r="B12" s="823"/>
      <c r="C12" s="825"/>
      <c r="D12" s="456">
        <v>2020</v>
      </c>
      <c r="E12" s="456">
        <v>2021</v>
      </c>
      <c r="F12" s="456">
        <v>2022</v>
      </c>
      <c r="G12" s="456">
        <v>2023</v>
      </c>
      <c r="H12" s="456">
        <v>2020</v>
      </c>
      <c r="I12" s="456">
        <v>2021</v>
      </c>
      <c r="J12" s="456">
        <v>2022</v>
      </c>
      <c r="K12" s="456">
        <v>2023</v>
      </c>
      <c r="L12" s="457">
        <v>2020</v>
      </c>
      <c r="M12" s="457">
        <v>2021</v>
      </c>
      <c r="N12" s="457">
        <v>2022</v>
      </c>
      <c r="O12" s="457">
        <v>2023</v>
      </c>
    </row>
    <row r="13" spans="2:15" ht="22.5" customHeight="1" thickBot="1" x14ac:dyDescent="0.25">
      <c r="B13" s="830" t="s">
        <v>531</v>
      </c>
      <c r="C13" s="436" t="s">
        <v>259</v>
      </c>
      <c r="D13" s="439">
        <v>14</v>
      </c>
      <c r="E13" s="439">
        <v>12</v>
      </c>
      <c r="F13" s="439">
        <v>11</v>
      </c>
      <c r="G13" s="439">
        <v>14</v>
      </c>
      <c r="H13" s="439">
        <v>57</v>
      </c>
      <c r="I13" s="439">
        <v>63</v>
      </c>
      <c r="J13" s="439">
        <v>62</v>
      </c>
      <c r="K13" s="439">
        <v>59</v>
      </c>
      <c r="L13" s="458">
        <v>0.19700000000000001</v>
      </c>
      <c r="M13" s="458">
        <v>0.16</v>
      </c>
      <c r="N13" s="458">
        <v>0.151</v>
      </c>
      <c r="O13" s="458">
        <v>0.192</v>
      </c>
    </row>
    <row r="14" spans="2:15" ht="22.5" customHeight="1" thickBot="1" x14ac:dyDescent="0.25">
      <c r="B14" s="831"/>
      <c r="C14" s="459" t="s">
        <v>532</v>
      </c>
      <c r="D14" s="438">
        <v>7</v>
      </c>
      <c r="E14" s="438">
        <v>7</v>
      </c>
      <c r="F14" s="438">
        <v>5</v>
      </c>
      <c r="G14" s="438">
        <v>7</v>
      </c>
      <c r="H14" s="438">
        <v>20</v>
      </c>
      <c r="I14" s="438">
        <v>28</v>
      </c>
      <c r="J14" s="438">
        <v>30</v>
      </c>
      <c r="K14" s="438">
        <v>27</v>
      </c>
      <c r="L14" s="460">
        <v>0.25900000000000001</v>
      </c>
      <c r="M14" s="460">
        <v>0.2</v>
      </c>
      <c r="N14" s="460">
        <v>0.14299999999999999</v>
      </c>
      <c r="O14" s="460">
        <v>0.20599999999999999</v>
      </c>
    </row>
    <row r="15" spans="2:15" ht="22.5" customHeight="1" thickBot="1" x14ac:dyDescent="0.25">
      <c r="B15" s="831"/>
      <c r="C15" s="459" t="s">
        <v>533</v>
      </c>
      <c r="D15" s="438">
        <v>0</v>
      </c>
      <c r="E15" s="438">
        <v>0</v>
      </c>
      <c r="F15" s="438">
        <v>0</v>
      </c>
      <c r="G15" s="438">
        <v>1</v>
      </c>
      <c r="H15" s="438">
        <v>1</v>
      </c>
      <c r="I15" s="438">
        <v>1</v>
      </c>
      <c r="J15" s="438">
        <v>1</v>
      </c>
      <c r="K15" s="438">
        <v>4</v>
      </c>
      <c r="L15" s="460">
        <v>0</v>
      </c>
      <c r="M15" s="460">
        <v>0</v>
      </c>
      <c r="N15" s="460">
        <v>0</v>
      </c>
      <c r="O15" s="460">
        <v>0.2</v>
      </c>
    </row>
    <row r="16" spans="2:15" ht="22.5" customHeight="1" thickBot="1" x14ac:dyDescent="0.25">
      <c r="B16" s="831"/>
      <c r="C16" s="459" t="s">
        <v>534</v>
      </c>
      <c r="D16" s="438">
        <v>0</v>
      </c>
      <c r="E16" s="438">
        <v>0</v>
      </c>
      <c r="F16" s="438">
        <v>0</v>
      </c>
      <c r="G16" s="438">
        <v>1</v>
      </c>
      <c r="H16" s="438">
        <v>11</v>
      </c>
      <c r="I16" s="438">
        <v>12</v>
      </c>
      <c r="J16" s="438">
        <v>12</v>
      </c>
      <c r="K16" s="438">
        <v>8</v>
      </c>
      <c r="L16" s="460">
        <v>0</v>
      </c>
      <c r="M16" s="460">
        <v>0</v>
      </c>
      <c r="N16" s="460">
        <v>0</v>
      </c>
      <c r="O16" s="460">
        <v>0.111</v>
      </c>
    </row>
    <row r="17" spans="2:15" ht="22.5" customHeight="1" thickBot="1" x14ac:dyDescent="0.25">
      <c r="B17" s="831"/>
      <c r="C17" s="459" t="s">
        <v>535</v>
      </c>
      <c r="D17" s="438">
        <v>1</v>
      </c>
      <c r="E17" s="438">
        <v>0</v>
      </c>
      <c r="F17" s="438">
        <v>0</v>
      </c>
      <c r="G17" s="438">
        <v>0</v>
      </c>
      <c r="H17" s="438">
        <v>6</v>
      </c>
      <c r="I17" s="438">
        <v>2</v>
      </c>
      <c r="J17" s="438">
        <v>0</v>
      </c>
      <c r="K17" s="438">
        <v>2</v>
      </c>
      <c r="L17" s="460">
        <v>0.14299999999999999</v>
      </c>
      <c r="M17" s="460">
        <v>0</v>
      </c>
      <c r="N17" s="460">
        <v>0</v>
      </c>
      <c r="O17" s="460">
        <v>0</v>
      </c>
    </row>
    <row r="18" spans="2:15" ht="22.5" customHeight="1" thickBot="1" x14ac:dyDescent="0.25">
      <c r="B18" s="831"/>
      <c r="C18" s="459" t="s">
        <v>536</v>
      </c>
      <c r="D18" s="438">
        <v>5</v>
      </c>
      <c r="E18" s="438">
        <v>4</v>
      </c>
      <c r="F18" s="438">
        <v>5</v>
      </c>
      <c r="G18" s="438">
        <v>3</v>
      </c>
      <c r="H18" s="438">
        <v>9</v>
      </c>
      <c r="I18" s="438">
        <v>11</v>
      </c>
      <c r="J18" s="438">
        <v>10</v>
      </c>
      <c r="K18" s="438">
        <v>8</v>
      </c>
      <c r="L18" s="461">
        <v>0.35699999999999998</v>
      </c>
      <c r="M18" s="460">
        <v>0.26700000000000002</v>
      </c>
      <c r="N18" s="461">
        <v>0.33300000000000002</v>
      </c>
      <c r="O18" s="462">
        <v>0.27300000000000002</v>
      </c>
    </row>
    <row r="19" spans="2:15" ht="22.5" customHeight="1" thickBot="1" x14ac:dyDescent="0.25">
      <c r="B19" s="831"/>
      <c r="C19" s="459" t="s">
        <v>537</v>
      </c>
      <c r="D19" s="438">
        <v>0</v>
      </c>
      <c r="E19" s="438">
        <v>0</v>
      </c>
      <c r="F19" s="438">
        <v>0</v>
      </c>
      <c r="G19" s="438">
        <v>1</v>
      </c>
      <c r="H19" s="438">
        <v>0</v>
      </c>
      <c r="I19" s="438">
        <v>3</v>
      </c>
      <c r="J19" s="438">
        <v>3</v>
      </c>
      <c r="K19" s="438">
        <v>4</v>
      </c>
      <c r="L19" s="460">
        <v>0</v>
      </c>
      <c r="M19" s="460">
        <v>0</v>
      </c>
      <c r="N19" s="460">
        <v>0</v>
      </c>
      <c r="O19" s="460">
        <v>0.2</v>
      </c>
    </row>
    <row r="20" spans="2:15" ht="22.5" customHeight="1" thickBot="1" x14ac:dyDescent="0.25">
      <c r="B20" s="831"/>
      <c r="C20" s="459" t="s">
        <v>538</v>
      </c>
      <c r="D20" s="438">
        <v>0</v>
      </c>
      <c r="E20" s="438">
        <v>0</v>
      </c>
      <c r="F20" s="438">
        <v>0</v>
      </c>
      <c r="G20" s="438">
        <v>0</v>
      </c>
      <c r="H20" s="438">
        <v>1</v>
      </c>
      <c r="I20" s="438">
        <v>0</v>
      </c>
      <c r="J20" s="438">
        <v>0</v>
      </c>
      <c r="K20" s="438">
        <v>0</v>
      </c>
      <c r="L20" s="460">
        <v>0</v>
      </c>
      <c r="M20" s="460">
        <v>0</v>
      </c>
      <c r="N20" s="460">
        <v>0</v>
      </c>
      <c r="O20" s="460">
        <v>0</v>
      </c>
    </row>
    <row r="21" spans="2:15" ht="22.5" customHeight="1" thickBot="1" x14ac:dyDescent="0.25">
      <c r="B21" s="831"/>
      <c r="C21" s="459" t="s">
        <v>539</v>
      </c>
      <c r="D21" s="438">
        <v>0</v>
      </c>
      <c r="E21" s="438">
        <v>0</v>
      </c>
      <c r="F21" s="438">
        <v>0</v>
      </c>
      <c r="G21" s="438">
        <v>0</v>
      </c>
      <c r="H21" s="438">
        <v>1</v>
      </c>
      <c r="I21" s="438">
        <v>1</v>
      </c>
      <c r="J21" s="438">
        <v>1</v>
      </c>
      <c r="K21" s="438">
        <v>1</v>
      </c>
      <c r="L21" s="460">
        <v>0</v>
      </c>
      <c r="M21" s="460">
        <v>0</v>
      </c>
      <c r="N21" s="460">
        <v>0</v>
      </c>
      <c r="O21" s="460">
        <v>0</v>
      </c>
    </row>
    <row r="22" spans="2:15" ht="22.5" customHeight="1" thickBot="1" x14ac:dyDescent="0.25">
      <c r="B22" s="832"/>
      <c r="C22" s="459" t="s">
        <v>540</v>
      </c>
      <c r="D22" s="438">
        <v>1</v>
      </c>
      <c r="E22" s="438">
        <v>1</v>
      </c>
      <c r="F22" s="438">
        <v>1</v>
      </c>
      <c r="G22" s="438">
        <v>1</v>
      </c>
      <c r="H22" s="438">
        <v>8</v>
      </c>
      <c r="I22" s="438">
        <v>5</v>
      </c>
      <c r="J22" s="438">
        <v>5</v>
      </c>
      <c r="K22" s="438">
        <v>5</v>
      </c>
      <c r="L22" s="460">
        <v>0.111</v>
      </c>
      <c r="M22" s="460">
        <v>0.16700000000000001</v>
      </c>
      <c r="N22" s="460">
        <v>0.16700000000000001</v>
      </c>
      <c r="O22" s="460">
        <v>0.16700000000000001</v>
      </c>
    </row>
    <row r="23" spans="2:15" ht="22.5" customHeight="1" thickBot="1" x14ac:dyDescent="0.25">
      <c r="B23" s="833" t="s">
        <v>541</v>
      </c>
      <c r="C23" s="436" t="s">
        <v>259</v>
      </c>
      <c r="D23" s="439">
        <v>6</v>
      </c>
      <c r="E23" s="439">
        <v>8</v>
      </c>
      <c r="F23" s="439">
        <v>8</v>
      </c>
      <c r="G23" s="439">
        <v>7</v>
      </c>
      <c r="H23" s="439">
        <v>29</v>
      </c>
      <c r="I23" s="439">
        <v>27</v>
      </c>
      <c r="J23" s="439">
        <v>28</v>
      </c>
      <c r="K23" s="439">
        <v>27</v>
      </c>
      <c r="L23" s="458">
        <v>0.17100000000000001</v>
      </c>
      <c r="M23" s="458">
        <v>0.22900000000000001</v>
      </c>
      <c r="N23" s="458">
        <v>0.222</v>
      </c>
      <c r="O23" s="458">
        <v>0.20599999999999999</v>
      </c>
    </row>
    <row r="24" spans="2:15" ht="22.5" customHeight="1" thickBot="1" x14ac:dyDescent="0.25">
      <c r="B24" s="831"/>
      <c r="C24" s="459" t="s">
        <v>532</v>
      </c>
      <c r="D24" s="438">
        <v>2</v>
      </c>
      <c r="E24" s="438">
        <v>4</v>
      </c>
      <c r="F24" s="438">
        <v>3</v>
      </c>
      <c r="G24" s="438">
        <v>2</v>
      </c>
      <c r="H24" s="438">
        <v>16</v>
      </c>
      <c r="I24" s="438">
        <v>13</v>
      </c>
      <c r="J24" s="438">
        <v>13</v>
      </c>
      <c r="K24" s="438">
        <v>11</v>
      </c>
      <c r="L24" s="460">
        <v>0.111</v>
      </c>
      <c r="M24" s="460">
        <v>0.23499999999999999</v>
      </c>
      <c r="N24" s="460">
        <v>0.188</v>
      </c>
      <c r="O24" s="460">
        <v>0.154</v>
      </c>
    </row>
    <row r="25" spans="2:15" ht="22.5" customHeight="1" thickBot="1" x14ac:dyDescent="0.25">
      <c r="B25" s="831"/>
      <c r="C25" s="459" t="s">
        <v>533</v>
      </c>
      <c r="D25" s="438">
        <v>0</v>
      </c>
      <c r="E25" s="438">
        <v>0</v>
      </c>
      <c r="F25" s="438">
        <v>0</v>
      </c>
      <c r="G25" s="438">
        <v>1</v>
      </c>
      <c r="H25" s="438">
        <v>1</v>
      </c>
      <c r="I25" s="438">
        <v>2</v>
      </c>
      <c r="J25" s="438">
        <v>2</v>
      </c>
      <c r="K25" s="438">
        <v>3</v>
      </c>
      <c r="L25" s="460">
        <v>0</v>
      </c>
      <c r="M25" s="460">
        <v>0</v>
      </c>
      <c r="N25" s="460">
        <v>0</v>
      </c>
      <c r="O25" s="460">
        <v>0.25</v>
      </c>
    </row>
    <row r="26" spans="2:15" ht="22.5" customHeight="1" thickBot="1" x14ac:dyDescent="0.25">
      <c r="B26" s="831"/>
      <c r="C26" s="459" t="s">
        <v>542</v>
      </c>
      <c r="D26" s="438">
        <v>0</v>
      </c>
      <c r="E26" s="438">
        <v>0</v>
      </c>
      <c r="F26" s="438">
        <v>0</v>
      </c>
      <c r="G26" s="438">
        <v>0</v>
      </c>
      <c r="H26" s="438">
        <v>1</v>
      </c>
      <c r="I26" s="438">
        <v>1</v>
      </c>
      <c r="J26" s="438">
        <v>1</v>
      </c>
      <c r="K26" s="438">
        <v>1</v>
      </c>
      <c r="L26" s="460">
        <v>0</v>
      </c>
      <c r="M26" s="460">
        <v>0</v>
      </c>
      <c r="N26" s="460">
        <v>0</v>
      </c>
      <c r="O26" s="460">
        <v>0</v>
      </c>
    </row>
    <row r="27" spans="2:15" ht="22.5" customHeight="1" thickBot="1" x14ac:dyDescent="0.25">
      <c r="B27" s="831"/>
      <c r="C27" s="459" t="s">
        <v>534</v>
      </c>
      <c r="D27" s="438">
        <v>0</v>
      </c>
      <c r="E27" s="438">
        <v>0</v>
      </c>
      <c r="F27" s="438">
        <v>0</v>
      </c>
      <c r="G27" s="438">
        <v>0</v>
      </c>
      <c r="H27" s="438">
        <v>2</v>
      </c>
      <c r="I27" s="438">
        <v>2</v>
      </c>
      <c r="J27" s="438">
        <v>1</v>
      </c>
      <c r="K27" s="438">
        <v>1</v>
      </c>
      <c r="L27" s="460">
        <v>0</v>
      </c>
      <c r="M27" s="460">
        <v>0</v>
      </c>
      <c r="N27" s="460">
        <v>0</v>
      </c>
      <c r="O27" s="460">
        <v>0</v>
      </c>
    </row>
    <row r="28" spans="2:15" ht="22.5" customHeight="1" thickBot="1" x14ac:dyDescent="0.25">
      <c r="B28" s="831"/>
      <c r="C28" s="459" t="s">
        <v>535</v>
      </c>
      <c r="D28" s="438">
        <v>1</v>
      </c>
      <c r="E28" s="438">
        <v>1</v>
      </c>
      <c r="F28" s="438">
        <v>1</v>
      </c>
      <c r="G28" s="438">
        <v>0</v>
      </c>
      <c r="H28" s="438">
        <v>1</v>
      </c>
      <c r="I28" s="438">
        <v>0</v>
      </c>
      <c r="J28" s="438">
        <v>1</v>
      </c>
      <c r="K28" s="438">
        <v>1</v>
      </c>
      <c r="L28" s="461">
        <v>0.5</v>
      </c>
      <c r="M28" s="461">
        <v>1</v>
      </c>
      <c r="N28" s="461">
        <v>0.5</v>
      </c>
      <c r="O28" s="460">
        <v>0</v>
      </c>
    </row>
    <row r="29" spans="2:15" ht="22.5" customHeight="1" thickBot="1" x14ac:dyDescent="0.25">
      <c r="B29" s="831"/>
      <c r="C29" s="459" t="s">
        <v>536</v>
      </c>
      <c r="D29" s="438">
        <v>2</v>
      </c>
      <c r="E29" s="438">
        <v>2</v>
      </c>
      <c r="F29" s="438">
        <v>2</v>
      </c>
      <c r="G29" s="438">
        <v>1</v>
      </c>
      <c r="H29" s="438">
        <v>3</v>
      </c>
      <c r="I29" s="438">
        <v>2</v>
      </c>
      <c r="J29" s="438">
        <v>2</v>
      </c>
      <c r="K29" s="438">
        <v>2</v>
      </c>
      <c r="L29" s="461">
        <v>0.4</v>
      </c>
      <c r="M29" s="461">
        <v>0.5</v>
      </c>
      <c r="N29" s="461">
        <v>0.5</v>
      </c>
      <c r="O29" s="461">
        <v>0.33300000000000002</v>
      </c>
    </row>
    <row r="30" spans="2:15" ht="22.5" customHeight="1" thickBot="1" x14ac:dyDescent="0.25">
      <c r="B30" s="831"/>
      <c r="C30" s="459" t="s">
        <v>537</v>
      </c>
      <c r="D30" s="438">
        <v>0</v>
      </c>
      <c r="E30" s="438">
        <v>0</v>
      </c>
      <c r="F30" s="438">
        <v>1</v>
      </c>
      <c r="G30" s="438">
        <v>2</v>
      </c>
      <c r="H30" s="438">
        <v>0</v>
      </c>
      <c r="I30" s="438">
        <v>3</v>
      </c>
      <c r="J30" s="438">
        <v>4</v>
      </c>
      <c r="K30" s="438">
        <v>4</v>
      </c>
      <c r="L30" s="460">
        <v>0</v>
      </c>
      <c r="M30" s="460">
        <v>0</v>
      </c>
      <c r="N30" s="460">
        <v>0.2</v>
      </c>
      <c r="O30" s="461">
        <v>0.33300000000000002</v>
      </c>
    </row>
    <row r="31" spans="2:15" ht="22.5" customHeight="1" thickBot="1" x14ac:dyDescent="0.25">
      <c r="B31" s="834"/>
      <c r="C31" s="459" t="s">
        <v>540</v>
      </c>
      <c r="D31" s="438">
        <v>1</v>
      </c>
      <c r="E31" s="438">
        <v>1</v>
      </c>
      <c r="F31" s="438">
        <v>1</v>
      </c>
      <c r="G31" s="438">
        <v>1</v>
      </c>
      <c r="H31" s="438">
        <v>5</v>
      </c>
      <c r="I31" s="438">
        <v>4</v>
      </c>
      <c r="J31" s="438">
        <v>4</v>
      </c>
      <c r="K31" s="438">
        <v>4</v>
      </c>
      <c r="L31" s="460">
        <v>0.16700000000000001</v>
      </c>
      <c r="M31" s="460">
        <v>0.2</v>
      </c>
      <c r="N31" s="460">
        <v>0.2</v>
      </c>
      <c r="O31" s="460">
        <v>0.2</v>
      </c>
    </row>
    <row r="32" spans="2:15" ht="22.5" customHeight="1" thickBot="1" x14ac:dyDescent="0.25">
      <c r="B32" s="830" t="s">
        <v>543</v>
      </c>
      <c r="C32" s="436" t="s">
        <v>259</v>
      </c>
      <c r="D32" s="439">
        <v>21</v>
      </c>
      <c r="E32" s="439">
        <v>26</v>
      </c>
      <c r="F32" s="439">
        <v>25</v>
      </c>
      <c r="G32" s="439">
        <v>26</v>
      </c>
      <c r="H32" s="439">
        <v>64</v>
      </c>
      <c r="I32" s="439">
        <v>58</v>
      </c>
      <c r="J32" s="439">
        <v>59</v>
      </c>
      <c r="K32" s="439">
        <v>66</v>
      </c>
      <c r="L32" s="458">
        <v>0.247</v>
      </c>
      <c r="M32" s="463">
        <v>0.31</v>
      </c>
      <c r="N32" s="464">
        <v>0.29799999999999999</v>
      </c>
      <c r="O32" s="464">
        <v>0.28299999999999997</v>
      </c>
    </row>
    <row r="33" spans="2:15" ht="22.5" customHeight="1" thickBot="1" x14ac:dyDescent="0.25">
      <c r="B33" s="831"/>
      <c r="C33" s="459" t="s">
        <v>532</v>
      </c>
      <c r="D33" s="438">
        <v>6</v>
      </c>
      <c r="E33" s="438">
        <v>12</v>
      </c>
      <c r="F33" s="438">
        <v>11</v>
      </c>
      <c r="G33" s="438">
        <v>11</v>
      </c>
      <c r="H33" s="438">
        <v>17</v>
      </c>
      <c r="I33" s="438">
        <v>14</v>
      </c>
      <c r="J33" s="438">
        <v>17</v>
      </c>
      <c r="K33" s="438">
        <v>22</v>
      </c>
      <c r="L33" s="460">
        <v>0.26100000000000001</v>
      </c>
      <c r="M33" s="461">
        <v>0.46200000000000002</v>
      </c>
      <c r="N33" s="461">
        <v>0.39300000000000002</v>
      </c>
      <c r="O33" s="461">
        <v>0.33300000000000002</v>
      </c>
    </row>
    <row r="34" spans="2:15" ht="22.5" customHeight="1" thickBot="1" x14ac:dyDescent="0.25">
      <c r="B34" s="831"/>
      <c r="C34" s="459" t="s">
        <v>534</v>
      </c>
      <c r="D34" s="438">
        <v>1</v>
      </c>
      <c r="E34" s="438">
        <v>1</v>
      </c>
      <c r="F34" s="438">
        <v>1</v>
      </c>
      <c r="G34" s="438">
        <v>1</v>
      </c>
      <c r="H34" s="438">
        <v>1</v>
      </c>
      <c r="I34" s="438">
        <v>1</v>
      </c>
      <c r="J34" s="438">
        <v>0</v>
      </c>
      <c r="K34" s="438">
        <v>0</v>
      </c>
      <c r="L34" s="461">
        <v>0.5</v>
      </c>
      <c r="M34" s="461">
        <v>0.5</v>
      </c>
      <c r="N34" s="461">
        <v>1</v>
      </c>
      <c r="O34" s="461">
        <v>1</v>
      </c>
    </row>
    <row r="35" spans="2:15" ht="22.5" customHeight="1" thickBot="1" x14ac:dyDescent="0.25">
      <c r="B35" s="831"/>
      <c r="C35" s="459" t="s">
        <v>534</v>
      </c>
      <c r="D35" s="438">
        <v>0</v>
      </c>
      <c r="E35" s="438">
        <v>0</v>
      </c>
      <c r="F35" s="438">
        <v>0</v>
      </c>
      <c r="G35" s="438">
        <v>0</v>
      </c>
      <c r="H35" s="438">
        <v>17</v>
      </c>
      <c r="I35" s="438">
        <v>15</v>
      </c>
      <c r="J35" s="438">
        <v>13</v>
      </c>
      <c r="K35" s="438">
        <v>12</v>
      </c>
      <c r="L35" s="460">
        <v>0</v>
      </c>
      <c r="M35" s="460">
        <v>0</v>
      </c>
      <c r="N35" s="460">
        <v>0</v>
      </c>
      <c r="O35" s="460">
        <v>0</v>
      </c>
    </row>
    <row r="36" spans="2:15" ht="22.5" customHeight="1" thickBot="1" x14ac:dyDescent="0.25">
      <c r="B36" s="831"/>
      <c r="C36" s="459" t="s">
        <v>535</v>
      </c>
      <c r="D36" s="438">
        <v>0</v>
      </c>
      <c r="E36" s="438">
        <v>0</v>
      </c>
      <c r="F36" s="438">
        <v>0</v>
      </c>
      <c r="G36" s="438">
        <v>0</v>
      </c>
      <c r="H36" s="438">
        <v>1</v>
      </c>
      <c r="I36" s="438">
        <v>0</v>
      </c>
      <c r="J36" s="438">
        <v>2</v>
      </c>
      <c r="K36" s="438">
        <v>3</v>
      </c>
      <c r="L36" s="460">
        <v>0</v>
      </c>
      <c r="M36" s="460">
        <v>0</v>
      </c>
      <c r="N36" s="460">
        <v>0</v>
      </c>
      <c r="O36" s="460">
        <v>0</v>
      </c>
    </row>
    <row r="37" spans="2:15" ht="22.5" customHeight="1" thickBot="1" x14ac:dyDescent="0.25">
      <c r="B37" s="831"/>
      <c r="C37" s="459" t="s">
        <v>536</v>
      </c>
      <c r="D37" s="438">
        <v>3</v>
      </c>
      <c r="E37" s="438">
        <v>3</v>
      </c>
      <c r="F37" s="438">
        <v>1</v>
      </c>
      <c r="G37" s="438">
        <v>1</v>
      </c>
      <c r="H37" s="438">
        <v>5</v>
      </c>
      <c r="I37" s="438">
        <v>5</v>
      </c>
      <c r="J37" s="438">
        <v>5</v>
      </c>
      <c r="K37" s="438">
        <v>6</v>
      </c>
      <c r="L37" s="461">
        <v>0.375</v>
      </c>
      <c r="M37" s="461">
        <v>0.375</v>
      </c>
      <c r="N37" s="461">
        <v>0.16700000000000001</v>
      </c>
      <c r="O37" s="461">
        <v>0.14299999999999999</v>
      </c>
    </row>
    <row r="38" spans="2:15" ht="22.5" customHeight="1" thickBot="1" x14ac:dyDescent="0.25">
      <c r="B38" s="831"/>
      <c r="C38" s="459" t="s">
        <v>537</v>
      </c>
      <c r="D38" s="438">
        <v>0</v>
      </c>
      <c r="E38" s="438">
        <v>0</v>
      </c>
      <c r="F38" s="438">
        <v>1</v>
      </c>
      <c r="G38" s="438">
        <v>3</v>
      </c>
      <c r="H38" s="441"/>
      <c r="I38" s="441"/>
      <c r="J38" s="441"/>
      <c r="K38" s="441"/>
      <c r="L38" s="460">
        <v>0</v>
      </c>
      <c r="M38" s="460">
        <v>0</v>
      </c>
      <c r="N38" s="461">
        <v>1</v>
      </c>
      <c r="O38" s="461">
        <v>1</v>
      </c>
    </row>
    <row r="39" spans="2:15" ht="22.5" customHeight="1" thickBot="1" x14ac:dyDescent="0.25">
      <c r="B39" s="831"/>
      <c r="C39" s="459" t="s">
        <v>540</v>
      </c>
      <c r="D39" s="438">
        <v>10</v>
      </c>
      <c r="E39" s="438">
        <v>9</v>
      </c>
      <c r="F39" s="438">
        <v>10</v>
      </c>
      <c r="G39" s="438">
        <v>9</v>
      </c>
      <c r="H39" s="438">
        <v>22</v>
      </c>
      <c r="I39" s="438">
        <v>21</v>
      </c>
      <c r="J39" s="438">
        <v>21</v>
      </c>
      <c r="K39" s="438">
        <v>22</v>
      </c>
      <c r="L39" s="461">
        <v>0.313</v>
      </c>
      <c r="M39" s="461">
        <v>0.3</v>
      </c>
      <c r="N39" s="461">
        <v>0.32300000000000001</v>
      </c>
      <c r="O39" s="460">
        <v>0.28999999999999998</v>
      </c>
    </row>
    <row r="40" spans="2:15" ht="22.5" customHeight="1" thickBot="1" x14ac:dyDescent="0.25">
      <c r="B40" s="834"/>
      <c r="C40" s="459" t="s">
        <v>538</v>
      </c>
      <c r="D40" s="438">
        <v>1</v>
      </c>
      <c r="E40" s="438">
        <v>1</v>
      </c>
      <c r="F40" s="438">
        <v>1</v>
      </c>
      <c r="G40" s="438">
        <v>1</v>
      </c>
      <c r="H40" s="438">
        <v>1</v>
      </c>
      <c r="I40" s="438">
        <v>2</v>
      </c>
      <c r="J40" s="438">
        <v>1</v>
      </c>
      <c r="K40" s="438">
        <v>1</v>
      </c>
      <c r="L40" s="461">
        <v>0.5</v>
      </c>
      <c r="M40" s="461">
        <v>0.33300000000000002</v>
      </c>
      <c r="N40" s="461">
        <v>0.5</v>
      </c>
      <c r="O40" s="461">
        <v>0.5</v>
      </c>
    </row>
    <row r="41" spans="2:15" ht="22.5" customHeight="1" thickBot="1" x14ac:dyDescent="0.25">
      <c r="B41" s="830" t="s">
        <v>544</v>
      </c>
      <c r="C41" s="436" t="s">
        <v>259</v>
      </c>
      <c r="D41" s="439">
        <v>30</v>
      </c>
      <c r="E41" s="439">
        <v>35</v>
      </c>
      <c r="F41" s="439">
        <v>32</v>
      </c>
      <c r="G41" s="439">
        <v>38</v>
      </c>
      <c r="H41" s="439">
        <v>47</v>
      </c>
      <c r="I41" s="439">
        <v>50</v>
      </c>
      <c r="J41" s="439">
        <v>46</v>
      </c>
      <c r="K41" s="439">
        <v>56</v>
      </c>
      <c r="L41" s="465">
        <v>0.39</v>
      </c>
      <c r="M41" s="465">
        <v>0.41199999999999998</v>
      </c>
      <c r="N41" s="465">
        <v>0.41</v>
      </c>
      <c r="O41" s="465">
        <v>0.40400000000000003</v>
      </c>
    </row>
    <row r="42" spans="2:15" ht="22.5" customHeight="1" thickBot="1" x14ac:dyDescent="0.25">
      <c r="B42" s="831"/>
      <c r="C42" s="459" t="s">
        <v>532</v>
      </c>
      <c r="D42" s="438">
        <v>12</v>
      </c>
      <c r="E42" s="438">
        <v>17</v>
      </c>
      <c r="F42" s="438">
        <v>12</v>
      </c>
      <c r="G42" s="438">
        <v>17</v>
      </c>
      <c r="H42" s="438">
        <v>8</v>
      </c>
      <c r="I42" s="438">
        <v>16</v>
      </c>
      <c r="J42" s="438">
        <v>10</v>
      </c>
      <c r="K42" s="438">
        <v>18</v>
      </c>
      <c r="L42" s="461">
        <v>0.6</v>
      </c>
      <c r="M42" s="461">
        <v>0.51500000000000001</v>
      </c>
      <c r="N42" s="461">
        <v>0.54500000000000004</v>
      </c>
      <c r="O42" s="461">
        <v>0.48599999999999999</v>
      </c>
    </row>
    <row r="43" spans="2:15" ht="22.5" customHeight="1" thickBot="1" x14ac:dyDescent="0.25">
      <c r="B43" s="831"/>
      <c r="C43" s="459" t="s">
        <v>533</v>
      </c>
      <c r="D43" s="438">
        <v>1</v>
      </c>
      <c r="E43" s="438">
        <v>1</v>
      </c>
      <c r="F43" s="438">
        <v>1</v>
      </c>
      <c r="G43" s="438">
        <v>1</v>
      </c>
      <c r="H43" s="438">
        <v>0</v>
      </c>
      <c r="I43" s="438">
        <v>0</v>
      </c>
      <c r="J43" s="438">
        <v>0</v>
      </c>
      <c r="K43" s="438">
        <v>0</v>
      </c>
      <c r="L43" s="461">
        <v>1</v>
      </c>
      <c r="M43" s="461">
        <v>1</v>
      </c>
      <c r="N43" s="461">
        <v>1</v>
      </c>
      <c r="O43" s="461">
        <v>1</v>
      </c>
    </row>
    <row r="44" spans="2:15" ht="22.5" customHeight="1" thickBot="1" x14ac:dyDescent="0.25">
      <c r="B44" s="831"/>
      <c r="C44" s="459" t="s">
        <v>534</v>
      </c>
      <c r="D44" s="438">
        <v>9</v>
      </c>
      <c r="E44" s="438">
        <v>8</v>
      </c>
      <c r="F44" s="438">
        <v>8</v>
      </c>
      <c r="G44" s="438">
        <v>9</v>
      </c>
      <c r="H44" s="438">
        <v>14</v>
      </c>
      <c r="I44" s="438">
        <v>12</v>
      </c>
      <c r="J44" s="438">
        <v>10</v>
      </c>
      <c r="K44" s="438">
        <v>10</v>
      </c>
      <c r="L44" s="461">
        <v>0.39100000000000001</v>
      </c>
      <c r="M44" s="461">
        <v>0.4</v>
      </c>
      <c r="N44" s="461">
        <v>0.44400000000000001</v>
      </c>
      <c r="O44" s="461">
        <v>0.47399999999999998</v>
      </c>
    </row>
    <row r="45" spans="2:15" ht="22.5" customHeight="1" thickBot="1" x14ac:dyDescent="0.25">
      <c r="B45" s="831"/>
      <c r="C45" s="459" t="s">
        <v>535</v>
      </c>
      <c r="D45" s="438">
        <v>0</v>
      </c>
      <c r="E45" s="438">
        <v>1</v>
      </c>
      <c r="F45" s="438">
        <v>1</v>
      </c>
      <c r="G45" s="438">
        <v>1</v>
      </c>
      <c r="H45" s="438">
        <v>3</v>
      </c>
      <c r="I45" s="438">
        <v>0</v>
      </c>
      <c r="J45" s="438">
        <v>1</v>
      </c>
      <c r="K45" s="438">
        <v>1</v>
      </c>
      <c r="L45" s="461">
        <v>0</v>
      </c>
      <c r="M45" s="461">
        <v>1</v>
      </c>
      <c r="N45" s="461">
        <v>0.5</v>
      </c>
      <c r="O45" s="461">
        <v>0.5</v>
      </c>
    </row>
    <row r="46" spans="2:15" ht="22.5" customHeight="1" thickBot="1" x14ac:dyDescent="0.25">
      <c r="B46" s="831"/>
      <c r="C46" s="459" t="s">
        <v>536</v>
      </c>
      <c r="D46" s="438">
        <v>3</v>
      </c>
      <c r="E46" s="438">
        <v>3</v>
      </c>
      <c r="F46" s="438">
        <v>4</v>
      </c>
      <c r="G46" s="438">
        <v>5</v>
      </c>
      <c r="H46" s="438">
        <v>11</v>
      </c>
      <c r="I46" s="438">
        <v>11</v>
      </c>
      <c r="J46" s="438">
        <v>12</v>
      </c>
      <c r="K46" s="438">
        <v>15</v>
      </c>
      <c r="L46" s="460">
        <v>0.214</v>
      </c>
      <c r="M46" s="460">
        <v>0.214</v>
      </c>
      <c r="N46" s="460">
        <v>0.25</v>
      </c>
      <c r="O46" s="460">
        <v>0.25</v>
      </c>
    </row>
    <row r="47" spans="2:15" ht="22.5" customHeight="1" thickBot="1" x14ac:dyDescent="0.25">
      <c r="B47" s="831"/>
      <c r="C47" s="459" t="s">
        <v>537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1</v>
      </c>
      <c r="K47" s="438">
        <v>1</v>
      </c>
      <c r="L47" s="461">
        <v>0</v>
      </c>
      <c r="M47" s="461">
        <v>0</v>
      </c>
      <c r="N47" s="461">
        <v>0</v>
      </c>
      <c r="O47" s="461">
        <v>0</v>
      </c>
    </row>
    <row r="48" spans="2:15" ht="22.5" customHeight="1" thickBot="1" x14ac:dyDescent="0.25">
      <c r="B48" s="834"/>
      <c r="C48" s="459" t="s">
        <v>540</v>
      </c>
      <c r="D48" s="438">
        <v>5</v>
      </c>
      <c r="E48" s="438">
        <v>5</v>
      </c>
      <c r="F48" s="438">
        <v>6</v>
      </c>
      <c r="G48" s="438">
        <v>5</v>
      </c>
      <c r="H48" s="438">
        <v>11</v>
      </c>
      <c r="I48" s="438">
        <v>11</v>
      </c>
      <c r="J48" s="438">
        <v>12</v>
      </c>
      <c r="K48" s="438">
        <v>11</v>
      </c>
      <c r="L48" s="461">
        <v>0.313</v>
      </c>
      <c r="M48" s="461">
        <v>0.313</v>
      </c>
      <c r="N48" s="461">
        <v>0.33300000000000002</v>
      </c>
      <c r="O48" s="461">
        <v>0.313</v>
      </c>
    </row>
    <row r="50" spans="2:11" ht="22.5" customHeight="1" thickBot="1" x14ac:dyDescent="0.25">
      <c r="B50" s="120"/>
      <c r="D50" s="331" t="s">
        <v>221</v>
      </c>
      <c r="E50" s="331" t="s">
        <v>222</v>
      </c>
      <c r="F50" s="331" t="s">
        <v>223</v>
      </c>
      <c r="G50" s="259"/>
      <c r="H50" s="120"/>
      <c r="I50" s="120"/>
      <c r="J50" s="120"/>
      <c r="K50" s="259"/>
    </row>
    <row r="51" spans="2:11" ht="22.5" customHeight="1" x14ac:dyDescent="0.2">
      <c r="B51" s="818" t="s">
        <v>545</v>
      </c>
      <c r="C51" s="260" t="s">
        <v>241</v>
      </c>
      <c r="D51" s="255">
        <v>0.128</v>
      </c>
      <c r="E51" s="255">
        <v>0.128</v>
      </c>
      <c r="F51" s="255">
        <v>0.192</v>
      </c>
      <c r="G51" s="259"/>
      <c r="H51" s="120"/>
      <c r="I51" s="120"/>
      <c r="J51" s="120"/>
      <c r="K51" s="259"/>
    </row>
    <row r="52" spans="2:11" ht="22.5" customHeight="1" x14ac:dyDescent="0.2">
      <c r="B52" s="818"/>
      <c r="C52" s="261" t="s">
        <v>248</v>
      </c>
      <c r="D52" s="257">
        <v>0.36199999999999999</v>
      </c>
      <c r="E52" s="257">
        <v>0.36199999999999999</v>
      </c>
      <c r="F52" s="257">
        <v>0.40400000000000003</v>
      </c>
      <c r="G52" s="259"/>
      <c r="H52" s="120"/>
      <c r="I52" s="120"/>
      <c r="J52" s="120"/>
      <c r="K52" s="259"/>
    </row>
    <row r="53" spans="2:11" ht="22.5" customHeight="1" x14ac:dyDescent="0.2">
      <c r="B53" s="818"/>
      <c r="C53" s="261" t="s">
        <v>246</v>
      </c>
      <c r="D53" s="257">
        <v>0.14799999999999999</v>
      </c>
      <c r="E53" s="257">
        <v>0.14799999999999999</v>
      </c>
      <c r="F53" s="257">
        <v>0.28299999999999997</v>
      </c>
      <c r="G53" s="259"/>
      <c r="H53" s="120"/>
      <c r="I53" s="120"/>
      <c r="J53" s="120"/>
      <c r="K53" s="259"/>
    </row>
    <row r="54" spans="2:11" ht="22.5" customHeight="1" x14ac:dyDescent="0.2">
      <c r="B54" s="818"/>
      <c r="C54" s="262" t="s">
        <v>244</v>
      </c>
      <c r="D54" s="257">
        <v>0.27300000000000002</v>
      </c>
      <c r="E54" s="257">
        <v>0.27300000000000002</v>
      </c>
      <c r="F54" s="257">
        <v>0.20599999999999999</v>
      </c>
      <c r="G54" s="259"/>
      <c r="H54" s="120"/>
      <c r="I54" s="120"/>
      <c r="J54" s="120"/>
      <c r="K54" s="259"/>
    </row>
    <row r="55" spans="2:11" ht="22.5" customHeight="1" x14ac:dyDescent="0.2">
      <c r="C55" s="220" t="s">
        <v>225</v>
      </c>
      <c r="D55" s="130">
        <v>0.3</v>
      </c>
      <c r="E55" s="130">
        <v>0.3</v>
      </c>
      <c r="F55" s="130">
        <v>0.3</v>
      </c>
      <c r="G55" s="190" t="s">
        <v>169</v>
      </c>
      <c r="H55" s="11"/>
      <c r="I55" s="11"/>
      <c r="J55" s="11"/>
      <c r="K55" s="190"/>
    </row>
    <row r="56" spans="2:11" ht="22.5" customHeight="1" x14ac:dyDescent="0.2">
      <c r="B56" s="12"/>
      <c r="C56" s="220" t="s">
        <v>546</v>
      </c>
      <c r="D56" s="10">
        <f>COUNTIF(D51:D54,"&gt;=30%")</f>
        <v>1</v>
      </c>
      <c r="E56" s="10">
        <f>COUNTIF(E51:E54,"&gt;=30%")</f>
        <v>1</v>
      </c>
      <c r="F56" s="10">
        <f>COUNTIF(F51:F54,"&gt;=30%")</f>
        <v>1</v>
      </c>
      <c r="G56" s="11" t="s">
        <v>169</v>
      </c>
      <c r="H56" s="11" t="s">
        <v>169</v>
      </c>
      <c r="I56" s="11" t="s">
        <v>169</v>
      </c>
      <c r="J56" s="11" t="s">
        <v>169</v>
      </c>
      <c r="K56" s="11" t="s">
        <v>169</v>
      </c>
    </row>
    <row r="57" spans="2:11" ht="22.5" customHeight="1" x14ac:dyDescent="0.2">
      <c r="B57" s="12"/>
      <c r="C57" s="220" t="s">
        <v>259</v>
      </c>
      <c r="D57" s="10">
        <f>COUNT(D51:D54)</f>
        <v>4</v>
      </c>
      <c r="E57" s="10">
        <f>COUNT(E51:E54)</f>
        <v>4</v>
      </c>
      <c r="F57" s="10">
        <f>COUNT(F51:F54)</f>
        <v>4</v>
      </c>
      <c r="G57" s="11" t="s">
        <v>169</v>
      </c>
      <c r="H57" s="11" t="s">
        <v>169</v>
      </c>
      <c r="I57" s="11" t="s">
        <v>169</v>
      </c>
      <c r="J57" s="11" t="s">
        <v>169</v>
      </c>
      <c r="K57" s="11" t="s">
        <v>169</v>
      </c>
    </row>
    <row r="58" spans="2:11" ht="22.5" customHeight="1" x14ac:dyDescent="0.2">
      <c r="B58" s="12"/>
      <c r="C58" s="220" t="s">
        <v>547</v>
      </c>
      <c r="D58" s="223">
        <v>0.22770000000000001</v>
      </c>
      <c r="E58" s="223">
        <v>0.22770000000000001</v>
      </c>
      <c r="F58" s="223">
        <v>0.2712</v>
      </c>
      <c r="G58" s="258" t="s">
        <v>169</v>
      </c>
      <c r="H58" s="190" t="s">
        <v>169</v>
      </c>
      <c r="I58" s="190" t="s">
        <v>169</v>
      </c>
      <c r="J58" s="190" t="s">
        <v>169</v>
      </c>
      <c r="K58" s="258" t="s">
        <v>169</v>
      </c>
    </row>
    <row r="59" spans="2:11" ht="22.5" customHeight="1" x14ac:dyDescent="0.2">
      <c r="B59" s="12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22.5" customHeight="1" x14ac:dyDescent="0.2">
      <c r="B60" s="12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22.5" customHeight="1" x14ac:dyDescent="0.2">
      <c r="B61" s="572" t="s">
        <v>227</v>
      </c>
      <c r="C61" s="573"/>
      <c r="D61" s="573"/>
      <c r="E61" s="574"/>
      <c r="F61" s="11"/>
      <c r="G61" s="11"/>
      <c r="H61" s="11"/>
      <c r="I61" s="11"/>
      <c r="J61" s="11"/>
      <c r="K61" s="11"/>
    </row>
    <row r="62" spans="2:11" ht="22.5" customHeight="1" x14ac:dyDescent="0.2">
      <c r="B62" s="19"/>
      <c r="C62" s="19"/>
      <c r="D62" s="19"/>
      <c r="E62" s="19"/>
      <c r="F62" s="19"/>
      <c r="G62" s="19"/>
      <c r="H62" s="728"/>
      <c r="I62" s="728"/>
      <c r="J62" s="728"/>
      <c r="K62" s="11"/>
    </row>
    <row r="63" spans="2:11" ht="22.5" customHeight="1" x14ac:dyDescent="0.2">
      <c r="B63" s="6"/>
      <c r="C63" s="6"/>
      <c r="D63" s="6"/>
      <c r="E63" s="6"/>
      <c r="F63" s="6"/>
      <c r="G63" s="6"/>
      <c r="H63" s="7"/>
      <c r="I63" s="7"/>
      <c r="J63" s="7"/>
      <c r="K63" s="7"/>
    </row>
    <row r="64" spans="2:11" ht="6" customHeight="1" x14ac:dyDescent="0.2">
      <c r="B64" s="6"/>
      <c r="C64" s="6"/>
      <c r="D64" s="6"/>
      <c r="E64" s="6"/>
      <c r="F64" s="6"/>
      <c r="G64" s="6"/>
      <c r="H64" s="648"/>
      <c r="I64" s="648"/>
      <c r="J64" s="648"/>
      <c r="K64" s="136"/>
    </row>
    <row r="65" spans="8:10" ht="19.5" customHeight="1" x14ac:dyDescent="0.2">
      <c r="H65" s="563"/>
      <c r="I65" s="563"/>
      <c r="J65" s="648"/>
    </row>
    <row r="66" spans="8:10" ht="19.5" customHeight="1" x14ac:dyDescent="0.2">
      <c r="H66" s="563"/>
      <c r="I66" s="563"/>
      <c r="J66" s="648"/>
    </row>
    <row r="67" spans="8:10" ht="19.5" customHeight="1" x14ac:dyDescent="0.2">
      <c r="H67" s="563"/>
      <c r="I67" s="563"/>
      <c r="J67" s="648"/>
    </row>
    <row r="68" spans="8:10" ht="19.5" customHeight="1" x14ac:dyDescent="0.2">
      <c r="H68" s="563"/>
      <c r="I68" s="563"/>
      <c r="J68" s="648"/>
    </row>
    <row r="69" spans="8:10" ht="19.5" customHeight="1" x14ac:dyDescent="0.2">
      <c r="H69" s="563"/>
      <c r="I69" s="563"/>
      <c r="J69" s="648"/>
    </row>
    <row r="70" spans="8:10" ht="19.5" customHeight="1" x14ac:dyDescent="0.2">
      <c r="H70" s="563"/>
      <c r="I70" s="563"/>
      <c r="J70" s="648"/>
    </row>
    <row r="71" spans="8:10" ht="19.5" customHeight="1" x14ac:dyDescent="0.2">
      <c r="H71" s="563"/>
      <c r="I71" s="563"/>
      <c r="J71" s="648"/>
    </row>
    <row r="72" spans="8:10" ht="19.5" customHeight="1" x14ac:dyDescent="0.2">
      <c r="H72" s="648"/>
      <c r="I72" s="648"/>
      <c r="J72" s="648"/>
    </row>
    <row r="73" spans="8:10" ht="19.5" customHeight="1" x14ac:dyDescent="0.2"/>
    <row r="74" spans="8:10" ht="19.5" customHeight="1" x14ac:dyDescent="0.2">
      <c r="H74" s="568" t="s">
        <v>169</v>
      </c>
      <c r="I74" s="569"/>
      <c r="J74" s="569"/>
    </row>
  </sheetData>
  <sheetProtection sheet="1" formatCells="0" formatColumns="0" formatRows="0" insertColumns="0" insertRows="0" insertHyperlinks="0" deleteColumns="0" deleteRows="0" pivotTables="0"/>
  <mergeCells count="30">
    <mergeCell ref="L11:O11"/>
    <mergeCell ref="B9:J9"/>
    <mergeCell ref="H62:J62"/>
    <mergeCell ref="H64:J72"/>
    <mergeCell ref="B11:B12"/>
    <mergeCell ref="C11:C12"/>
    <mergeCell ref="D11:G11"/>
    <mergeCell ref="H11:K11"/>
    <mergeCell ref="B13:B22"/>
    <mergeCell ref="B23:B31"/>
    <mergeCell ref="B32:B40"/>
    <mergeCell ref="B41:B48"/>
    <mergeCell ref="H74:J74"/>
    <mergeCell ref="B61:E61"/>
    <mergeCell ref="B51:B54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DA70-F284-42BF-AA0E-47D4D4E156AB}">
  <sheetPr>
    <tabColor theme="9" tint="-0.499984740745262"/>
    <pageSetUpPr fitToPage="1"/>
  </sheetPr>
  <dimension ref="B2:N49"/>
  <sheetViews>
    <sheetView showGridLines="0" topLeftCell="A35" workbookViewId="0">
      <selection activeCell="G35" sqref="G35"/>
    </sheetView>
  </sheetViews>
  <sheetFormatPr defaultColWidth="12.5703125" defaultRowHeight="15.75" customHeight="1" x14ac:dyDescent="0.2"/>
  <cols>
    <col min="1" max="1" width="3.42578125" customWidth="1"/>
    <col min="2" max="2" width="19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</row>
    <row r="13" spans="2:10" ht="41.25" customHeight="1" thickBot="1" x14ac:dyDescent="0.25">
      <c r="B13" s="667" t="s">
        <v>238</v>
      </c>
      <c r="C13" s="667"/>
      <c r="D13" s="39">
        <v>0.86799999999999999</v>
      </c>
      <c r="E13" s="133">
        <v>0.79</v>
      </c>
      <c r="F13" s="133">
        <v>0.78</v>
      </c>
      <c r="G13" s="133">
        <v>0.76</v>
      </c>
      <c r="H13" s="36">
        <v>0.751</v>
      </c>
      <c r="I13" s="466">
        <v>0.74280000000000002</v>
      </c>
      <c r="J13" s="121"/>
    </row>
    <row r="14" spans="2:10" ht="41.25" customHeight="1" thickBot="1" x14ac:dyDescent="0.25">
      <c r="B14" s="667" t="s">
        <v>287</v>
      </c>
      <c r="C14" s="667"/>
      <c r="D14" s="55">
        <v>0.68</v>
      </c>
      <c r="E14" s="133">
        <v>0.71</v>
      </c>
      <c r="F14" s="133">
        <v>0.7</v>
      </c>
      <c r="G14" s="133">
        <v>0.7</v>
      </c>
      <c r="H14" s="36">
        <v>0.72189999999999999</v>
      </c>
      <c r="I14" s="468">
        <v>0.68240000000000001</v>
      </c>
      <c r="J14" s="121"/>
    </row>
    <row r="15" spans="2:10" ht="41.25" customHeight="1" thickBot="1" x14ac:dyDescent="0.25">
      <c r="B15" s="667" t="s">
        <v>244</v>
      </c>
      <c r="C15" s="667"/>
      <c r="D15" s="55">
        <v>0.85</v>
      </c>
      <c r="E15" s="133">
        <v>0.86</v>
      </c>
      <c r="F15" s="133">
        <v>0.82</v>
      </c>
      <c r="G15" s="133">
        <v>0.81</v>
      </c>
      <c r="H15" s="36">
        <v>0.78359999999999996</v>
      </c>
      <c r="I15" s="467">
        <v>0.87190000000000001</v>
      </c>
      <c r="J15" s="121"/>
    </row>
    <row r="16" spans="2:10" ht="41.25" customHeight="1" thickBot="1" x14ac:dyDescent="0.25">
      <c r="B16" s="667" t="s">
        <v>241</v>
      </c>
      <c r="C16" s="667"/>
      <c r="D16" s="55">
        <v>0.9</v>
      </c>
      <c r="E16" s="36">
        <v>0.90400000000000003</v>
      </c>
      <c r="F16" s="34" t="s">
        <v>298</v>
      </c>
      <c r="G16" s="133">
        <v>0.87</v>
      </c>
      <c r="H16" s="36">
        <v>0.89190000000000003</v>
      </c>
      <c r="I16" s="467">
        <v>0.90569999999999995</v>
      </c>
      <c r="J16" s="121"/>
    </row>
    <row r="17" spans="2:9" ht="41.25" customHeight="1" thickBot="1" x14ac:dyDescent="0.25">
      <c r="B17" s="667" t="s">
        <v>246</v>
      </c>
      <c r="C17" s="667"/>
      <c r="D17" s="55">
        <v>0.88</v>
      </c>
      <c r="E17" s="133">
        <v>0.94</v>
      </c>
      <c r="F17" s="133">
        <v>0.94</v>
      </c>
      <c r="G17" s="133">
        <v>0.95</v>
      </c>
      <c r="H17" s="36">
        <v>0.93440000000000001</v>
      </c>
      <c r="I17" s="467">
        <v>0.92849999999999999</v>
      </c>
    </row>
    <row r="18" spans="2:9" ht="41.25" customHeight="1" thickBot="1" x14ac:dyDescent="0.25">
      <c r="B18" s="667" t="s">
        <v>248</v>
      </c>
      <c r="C18" s="667"/>
      <c r="D18" s="55">
        <v>0.83</v>
      </c>
      <c r="E18" s="133">
        <v>0.83</v>
      </c>
      <c r="F18" s="133">
        <v>0.86</v>
      </c>
      <c r="G18" s="133">
        <v>0.81</v>
      </c>
      <c r="H18" s="36">
        <v>0.78129999999999999</v>
      </c>
      <c r="I18" s="467">
        <v>0.79469999999999996</v>
      </c>
    </row>
    <row r="19" spans="2:9" ht="41.25" customHeight="1" thickBot="1" x14ac:dyDescent="0.25">
      <c r="B19" s="667" t="s">
        <v>245</v>
      </c>
      <c r="C19" s="667"/>
      <c r="D19" s="97" t="s">
        <v>311</v>
      </c>
      <c r="E19" s="133">
        <v>1</v>
      </c>
      <c r="F19" s="133">
        <v>0.94</v>
      </c>
      <c r="G19" s="133">
        <v>0.88</v>
      </c>
      <c r="H19" s="36">
        <v>0.84130000000000005</v>
      </c>
      <c r="I19" s="467">
        <v>0.83340000000000003</v>
      </c>
    </row>
    <row r="20" spans="2:9" ht="41.25" customHeight="1" thickBot="1" x14ac:dyDescent="0.25">
      <c r="B20" s="667" t="s">
        <v>247</v>
      </c>
      <c r="C20" s="667"/>
      <c r="D20" s="55">
        <v>0.83</v>
      </c>
      <c r="E20" s="133">
        <v>0.81</v>
      </c>
      <c r="F20" s="133">
        <v>0.86</v>
      </c>
      <c r="G20" s="133">
        <v>0.84</v>
      </c>
      <c r="H20" s="133">
        <v>0.85</v>
      </c>
      <c r="I20" s="467">
        <v>0.83350000000000002</v>
      </c>
    </row>
    <row r="21" spans="2:9" ht="41.25" customHeight="1" thickBot="1" x14ac:dyDescent="0.25">
      <c r="B21" s="835" t="s">
        <v>548</v>
      </c>
      <c r="C21" s="835"/>
      <c r="D21" s="55">
        <v>0.86</v>
      </c>
      <c r="E21" s="133">
        <v>0.82</v>
      </c>
      <c r="F21" s="133">
        <v>0.79</v>
      </c>
      <c r="G21" s="134" t="s">
        <v>311</v>
      </c>
      <c r="H21" s="133">
        <v>0.75890000000000002</v>
      </c>
      <c r="I21" s="467">
        <v>0.80820000000000003</v>
      </c>
    </row>
    <row r="22" spans="2:9" ht="41.25" customHeight="1" thickBot="1" x14ac:dyDescent="0.25">
      <c r="B22" s="667" t="s">
        <v>331</v>
      </c>
      <c r="C22" s="667"/>
      <c r="D22" s="55">
        <v>0.96</v>
      </c>
      <c r="E22" s="133">
        <v>0.94</v>
      </c>
      <c r="F22" s="133">
        <v>0.94</v>
      </c>
      <c r="G22" s="133">
        <v>0.93</v>
      </c>
      <c r="H22" s="36">
        <v>0.80759999999999998</v>
      </c>
      <c r="I22" s="467">
        <v>0.84099999999999997</v>
      </c>
    </row>
    <row r="23" spans="2:9" ht="41.25" customHeight="1" thickBot="1" x14ac:dyDescent="0.25">
      <c r="B23" s="835" t="s">
        <v>242</v>
      </c>
      <c r="C23" s="835"/>
      <c r="D23" s="55">
        <v>0.85</v>
      </c>
      <c r="E23" s="133">
        <v>0.87</v>
      </c>
      <c r="F23" s="133">
        <v>0.9</v>
      </c>
      <c r="G23" s="134" t="s">
        <v>311</v>
      </c>
      <c r="H23" s="36">
        <v>0.93269999999999997</v>
      </c>
      <c r="I23" s="467">
        <v>0.92800000000000005</v>
      </c>
    </row>
    <row r="24" spans="2:9" ht="41.25" customHeight="1" thickBot="1" x14ac:dyDescent="0.25">
      <c r="B24" s="835" t="s">
        <v>243</v>
      </c>
      <c r="C24" s="835"/>
      <c r="D24" s="39">
        <v>0.91500000000000004</v>
      </c>
      <c r="E24" s="133">
        <v>0.88</v>
      </c>
      <c r="F24" s="133">
        <v>0.9</v>
      </c>
      <c r="G24" s="36">
        <v>0.89800000000000002</v>
      </c>
      <c r="H24" s="34" t="s">
        <v>231</v>
      </c>
      <c r="I24" s="467">
        <v>0.84099999999999997</v>
      </c>
    </row>
    <row r="25" spans="2:9" ht="41.25" customHeight="1" thickBot="1" x14ac:dyDescent="0.25">
      <c r="B25" s="667" t="s">
        <v>261</v>
      </c>
      <c r="C25" s="667"/>
      <c r="D25" s="39">
        <v>0.995</v>
      </c>
      <c r="E25" s="36">
        <v>0.86199999999999999</v>
      </c>
      <c r="F25" s="36">
        <v>0.88400000000000001</v>
      </c>
      <c r="G25" s="36">
        <v>0.89500000000000002</v>
      </c>
      <c r="H25" s="36">
        <v>0.93159999999999998</v>
      </c>
      <c r="I25" s="467">
        <v>0.88290000000000002</v>
      </c>
    </row>
    <row r="26" spans="2:9" ht="41.25" customHeight="1" thickBot="1" x14ac:dyDescent="0.25">
      <c r="B26" s="667" t="s">
        <v>292</v>
      </c>
      <c r="C26" s="667"/>
      <c r="D26" s="133">
        <v>1</v>
      </c>
      <c r="E26" s="133">
        <v>1</v>
      </c>
      <c r="F26" s="133">
        <v>1</v>
      </c>
      <c r="G26" s="36">
        <v>0.98599999999999999</v>
      </c>
      <c r="H26" s="36">
        <v>0.99950000000000006</v>
      </c>
      <c r="I26" s="467">
        <v>0.77349999999999997</v>
      </c>
    </row>
    <row r="27" spans="2:9" ht="41.25" customHeight="1" thickBot="1" x14ac:dyDescent="0.25">
      <c r="B27" s="667" t="s">
        <v>263</v>
      </c>
      <c r="C27" s="667"/>
      <c r="D27" s="39">
        <v>0.96599999999999997</v>
      </c>
      <c r="E27" s="133">
        <v>1</v>
      </c>
      <c r="F27" s="36">
        <v>0.95599999999999996</v>
      </c>
      <c r="G27" s="36">
        <v>0.97699999999999998</v>
      </c>
      <c r="H27" s="36">
        <v>0.97340000000000004</v>
      </c>
      <c r="I27" s="356">
        <v>1</v>
      </c>
    </row>
    <row r="28" spans="2:9" ht="41.25" customHeight="1" thickBot="1" x14ac:dyDescent="0.25">
      <c r="B28" s="667" t="s">
        <v>264</v>
      </c>
      <c r="C28" s="667"/>
      <c r="D28" s="36">
        <v>0.96299999999999997</v>
      </c>
      <c r="E28" s="36">
        <v>0.93100000000000005</v>
      </c>
      <c r="F28" s="133">
        <v>0.97</v>
      </c>
      <c r="G28" s="133">
        <v>0.91</v>
      </c>
      <c r="H28" s="36">
        <v>0.97499999999999998</v>
      </c>
      <c r="I28" s="467">
        <v>0.96020000000000005</v>
      </c>
    </row>
    <row r="29" spans="2:9" ht="41.25" customHeight="1" thickBot="1" x14ac:dyDescent="0.25">
      <c r="B29" s="667" t="s">
        <v>277</v>
      </c>
      <c r="C29" s="667"/>
      <c r="D29" s="133">
        <v>1</v>
      </c>
      <c r="E29" s="133">
        <v>1</v>
      </c>
      <c r="F29" s="36">
        <v>0.996</v>
      </c>
      <c r="G29" s="133">
        <v>1</v>
      </c>
      <c r="H29" s="36">
        <v>0.91679999999999995</v>
      </c>
      <c r="I29" s="467">
        <v>0.91700000000000004</v>
      </c>
    </row>
    <row r="30" spans="2:9" ht="41.25" customHeight="1" thickBot="1" x14ac:dyDescent="0.25">
      <c r="B30" s="667" t="s">
        <v>279</v>
      </c>
      <c r="C30" s="667"/>
      <c r="D30" s="36">
        <v>0.94199999999999995</v>
      </c>
      <c r="E30" s="34">
        <v>94.4</v>
      </c>
      <c r="F30" s="34">
        <v>92.4</v>
      </c>
      <c r="G30" s="34">
        <v>95.5</v>
      </c>
      <c r="H30" s="133">
        <v>1</v>
      </c>
      <c r="I30" s="356">
        <v>1</v>
      </c>
    </row>
    <row r="31" spans="2:9" ht="41.25" customHeight="1" thickBot="1" x14ac:dyDescent="0.25">
      <c r="B31" s="667" t="s">
        <v>549</v>
      </c>
      <c r="C31" s="667"/>
      <c r="D31" s="58">
        <v>1</v>
      </c>
      <c r="E31" s="58">
        <v>0.97</v>
      </c>
      <c r="F31" s="58">
        <v>0.72</v>
      </c>
      <c r="G31" s="58">
        <v>0.99</v>
      </c>
      <c r="H31" s="58">
        <v>1</v>
      </c>
      <c r="I31" s="467">
        <v>0.89900000000000002</v>
      </c>
    </row>
    <row r="32" spans="2:9" ht="22.5" customHeight="1" x14ac:dyDescent="0.2">
      <c r="B32" s="806" t="e">
        <f>D5</f>
        <v>#REF!</v>
      </c>
      <c r="C32" s="806"/>
      <c r="D32" s="48">
        <f t="shared" ref="D32:F32" si="0">COUNTIF(D13:D31,"&gt;=70%")</f>
        <v>17</v>
      </c>
      <c r="E32" s="48">
        <f t="shared" si="0"/>
        <v>19</v>
      </c>
      <c r="F32" s="48">
        <f t="shared" si="0"/>
        <v>18</v>
      </c>
      <c r="G32" s="48">
        <f>COUNTIF(G13:G31,"&gt;=70%")</f>
        <v>17</v>
      </c>
      <c r="H32" s="48">
        <f>COUNTIF(H13:H31,"&gt;=70%")</f>
        <v>18</v>
      </c>
      <c r="I32" s="48">
        <f>COUNTIF(I13:I31,"&gt;=70%")</f>
        <v>18</v>
      </c>
    </row>
    <row r="33" spans="2:14" ht="22.5" customHeight="1" x14ac:dyDescent="0.2">
      <c r="B33" s="644" t="s">
        <v>268</v>
      </c>
      <c r="C33" s="644"/>
      <c r="D33" s="48">
        <f t="shared" ref="D33:I33" si="1">COUNT(D13:D31)</f>
        <v>18</v>
      </c>
      <c r="E33" s="48">
        <f t="shared" si="1"/>
        <v>19</v>
      </c>
      <c r="F33" s="48">
        <f t="shared" si="1"/>
        <v>18</v>
      </c>
      <c r="G33" s="48">
        <f t="shared" si="1"/>
        <v>17</v>
      </c>
      <c r="H33" s="48">
        <f t="shared" si="1"/>
        <v>18</v>
      </c>
      <c r="I33" s="48">
        <f t="shared" si="1"/>
        <v>19</v>
      </c>
    </row>
    <row r="34" spans="2:14" ht="22.5" customHeight="1" x14ac:dyDescent="0.2">
      <c r="B34" s="43" t="s">
        <v>225</v>
      </c>
      <c r="C34" s="130" t="e">
        <f>D5</f>
        <v>#REF!</v>
      </c>
      <c r="D34" s="486">
        <v>0.7</v>
      </c>
      <c r="E34" s="486">
        <v>0.7</v>
      </c>
      <c r="F34" s="486">
        <v>0.7</v>
      </c>
      <c r="G34" s="486">
        <v>0.7</v>
      </c>
      <c r="H34" s="486">
        <v>0.7</v>
      </c>
      <c r="I34" s="486">
        <v>0.7</v>
      </c>
    </row>
    <row r="35" spans="2:14" ht="22.5" customHeight="1" x14ac:dyDescent="0.2">
      <c r="B35" s="640" t="s">
        <v>226</v>
      </c>
      <c r="C35" s="706"/>
      <c r="D35" s="50">
        <f t="shared" ref="D35:I35" si="2">D32/D33</f>
        <v>0.94444444444444442</v>
      </c>
      <c r="E35" s="487">
        <f t="shared" si="2"/>
        <v>1</v>
      </c>
      <c r="F35" s="487">
        <f t="shared" si="2"/>
        <v>1</v>
      </c>
      <c r="G35" s="487">
        <f t="shared" si="2"/>
        <v>1</v>
      </c>
      <c r="H35" s="487">
        <f t="shared" si="2"/>
        <v>1</v>
      </c>
      <c r="I35" s="50">
        <f t="shared" si="2"/>
        <v>0.94736842105263153</v>
      </c>
    </row>
    <row r="36" spans="2:14" ht="22.5" customHeight="1" x14ac:dyDescent="0.25">
      <c r="B36" s="5"/>
      <c r="C36" s="5"/>
      <c r="D36" s="4"/>
      <c r="E36" s="4"/>
      <c r="F36" s="4"/>
      <c r="G36" s="4"/>
      <c r="H36" s="4"/>
      <c r="I36" s="4"/>
      <c r="J36" s="4"/>
    </row>
    <row r="37" spans="2:14" ht="22.5" customHeight="1" x14ac:dyDescent="0.2">
      <c r="B37" s="572" t="s">
        <v>227</v>
      </c>
      <c r="C37" s="573"/>
      <c r="D37" s="573"/>
      <c r="E37" s="574"/>
      <c r="F37" s="6"/>
      <c r="K37" s="572" t="s">
        <v>228</v>
      </c>
      <c r="L37" s="573"/>
      <c r="M37" s="573"/>
      <c r="N37" s="574"/>
    </row>
    <row r="38" spans="2:14" ht="22.5" customHeight="1" x14ac:dyDescent="0.2">
      <c r="B38" s="6"/>
      <c r="C38" s="6"/>
      <c r="D38" s="6"/>
      <c r="E38" s="6"/>
      <c r="F38" s="6"/>
      <c r="K38" s="7"/>
      <c r="L38" s="7"/>
      <c r="M38" s="7"/>
      <c r="N38" s="7"/>
    </row>
    <row r="39" spans="2:14" ht="6" customHeight="1" x14ac:dyDescent="0.2">
      <c r="B39" s="6"/>
      <c r="C39" s="6"/>
      <c r="D39" s="6"/>
      <c r="E39" s="6"/>
      <c r="F39" s="6"/>
      <c r="K39" s="836" t="s">
        <v>169</v>
      </c>
      <c r="L39" s="560"/>
      <c r="M39" s="560"/>
      <c r="N39" s="561"/>
    </row>
    <row r="40" spans="2:14" ht="19.5" customHeight="1" x14ac:dyDescent="0.2">
      <c r="B40" s="6"/>
      <c r="C40" s="6"/>
      <c r="D40" s="6"/>
      <c r="E40" s="6"/>
      <c r="F40" s="6"/>
      <c r="K40" s="562"/>
      <c r="L40" s="563"/>
      <c r="M40" s="563"/>
      <c r="N40" s="564"/>
    </row>
    <row r="41" spans="2:14" ht="19.5" customHeight="1" x14ac:dyDescent="0.2">
      <c r="B41" s="6"/>
      <c r="C41" s="6"/>
      <c r="D41" s="6"/>
      <c r="E41" s="6"/>
      <c r="F41" s="6"/>
      <c r="K41" s="562"/>
      <c r="L41" s="563"/>
      <c r="M41" s="563"/>
      <c r="N41" s="564"/>
    </row>
    <row r="42" spans="2:14" ht="19.5" customHeight="1" x14ac:dyDescent="0.2">
      <c r="B42" s="6"/>
      <c r="C42" s="6"/>
      <c r="D42" s="6"/>
      <c r="E42" s="6"/>
      <c r="F42" s="6"/>
      <c r="K42" s="562"/>
      <c r="L42" s="563"/>
      <c r="M42" s="563"/>
      <c r="N42" s="564"/>
    </row>
    <row r="43" spans="2:14" ht="19.5" customHeight="1" x14ac:dyDescent="0.2">
      <c r="B43" s="6"/>
      <c r="C43" s="6"/>
      <c r="D43" s="6"/>
      <c r="E43" s="6"/>
      <c r="F43" s="6"/>
      <c r="K43" s="562"/>
      <c r="L43" s="563"/>
      <c r="M43" s="563"/>
      <c r="N43" s="564"/>
    </row>
    <row r="44" spans="2:14" ht="19.5" customHeight="1" x14ac:dyDescent="0.2">
      <c r="B44" s="6"/>
      <c r="C44" s="6"/>
      <c r="D44" s="6"/>
      <c r="E44" s="6"/>
      <c r="F44" s="6"/>
      <c r="K44" s="562"/>
      <c r="L44" s="563"/>
      <c r="M44" s="563"/>
      <c r="N44" s="564"/>
    </row>
    <row r="45" spans="2:14" ht="19.5" customHeight="1" x14ac:dyDescent="0.2">
      <c r="B45" s="6"/>
      <c r="C45" s="6"/>
      <c r="D45" s="6"/>
      <c r="E45" s="6"/>
      <c r="F45" s="6"/>
      <c r="K45" s="562"/>
      <c r="L45" s="563"/>
      <c r="M45" s="563"/>
      <c r="N45" s="564"/>
    </row>
    <row r="46" spans="2:14" ht="19.5" customHeight="1" x14ac:dyDescent="0.2">
      <c r="B46" s="6"/>
      <c r="C46" s="6"/>
      <c r="D46" s="6"/>
      <c r="E46" s="6"/>
      <c r="F46" s="6"/>
      <c r="K46" s="562"/>
      <c r="L46" s="563"/>
      <c r="M46" s="563"/>
      <c r="N46" s="564"/>
    </row>
    <row r="47" spans="2:14" ht="19.5" customHeight="1" x14ac:dyDescent="0.2">
      <c r="B47" s="6"/>
      <c r="C47" s="6"/>
      <c r="D47" s="6"/>
      <c r="E47" s="6"/>
      <c r="F47" s="6"/>
      <c r="K47" s="565"/>
      <c r="L47" s="566"/>
      <c r="M47" s="566"/>
      <c r="N47" s="567"/>
    </row>
    <row r="49" spans="8:10" ht="19.5" customHeight="1" x14ac:dyDescent="0.2">
      <c r="H49" s="568" t="s">
        <v>169</v>
      </c>
      <c r="I49" s="569"/>
      <c r="J49" s="569"/>
    </row>
  </sheetData>
  <sheetProtection sheet="1" formatCells="0" formatColumns="0" formatRows="0" insertColumns="0" insertRows="0" insertHyperlinks="0" deleteColumns="0" deleteRows="0" pivotTables="0"/>
  <mergeCells count="42">
    <mergeCell ref="K37:N37"/>
    <mergeCell ref="K39:N47"/>
    <mergeCell ref="H49:J49"/>
    <mergeCell ref="B21:C21"/>
    <mergeCell ref="B24:C24"/>
    <mergeCell ref="B31:C31"/>
    <mergeCell ref="B32:C32"/>
    <mergeCell ref="B33:C33"/>
    <mergeCell ref="B35:C35"/>
    <mergeCell ref="B37:E37"/>
    <mergeCell ref="B25:C25"/>
    <mergeCell ref="B26:C26"/>
    <mergeCell ref="B27:C27"/>
    <mergeCell ref="B28:C28"/>
    <mergeCell ref="B29:C29"/>
    <mergeCell ref="B30:C30"/>
    <mergeCell ref="B23:C23"/>
    <mergeCell ref="B9:J9"/>
    <mergeCell ref="B13:C13"/>
    <mergeCell ref="B14:C14"/>
    <mergeCell ref="B16:C16"/>
    <mergeCell ref="B22:C22"/>
    <mergeCell ref="B15:C15"/>
    <mergeCell ref="B19:C19"/>
    <mergeCell ref="B17:C17"/>
    <mergeCell ref="B20:C20"/>
    <mergeCell ref="B18:C18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31">
    <cfRule type="cellIs" dxfId="24" priority="1" operator="lessThan">
      <formula>0.7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F89C-B7FE-4C13-BFCA-8284D8C92750}">
  <sheetPr>
    <tabColor theme="9" tint="-0.499984740745262"/>
    <pageSetUpPr fitToPage="1"/>
  </sheetPr>
  <dimension ref="B2:N41"/>
  <sheetViews>
    <sheetView showGridLines="0" topLeftCell="A27" workbookViewId="0">
      <selection activeCell="G27" sqref="G27:G28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813" t="s">
        <v>235</v>
      </c>
      <c r="I5" s="837"/>
      <c r="J5" s="814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2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22"/>
    </row>
    <row r="13" spans="2:10" ht="41.25" customHeight="1" x14ac:dyDescent="0.2">
      <c r="B13" s="667" t="s">
        <v>238</v>
      </c>
      <c r="C13" s="730"/>
      <c r="D13" s="264">
        <v>0.49199999999999999</v>
      </c>
      <c r="E13" s="264">
        <v>0.46400000000000002</v>
      </c>
      <c r="F13" s="265">
        <v>0.41799999999999998</v>
      </c>
      <c r="G13" s="265">
        <v>0.44019999999999998</v>
      </c>
      <c r="H13" s="265">
        <v>0.48</v>
      </c>
      <c r="I13" s="16"/>
      <c r="J13" s="121"/>
    </row>
    <row r="14" spans="2:10" ht="41.25" customHeight="1" x14ac:dyDescent="0.2">
      <c r="B14" s="667" t="s">
        <v>337</v>
      </c>
      <c r="C14" s="730"/>
      <c r="D14" s="135">
        <v>0.50800000000000001</v>
      </c>
      <c r="E14" s="135">
        <v>0.46200000000000002</v>
      </c>
      <c r="F14" s="135">
        <v>0.48799999999999999</v>
      </c>
      <c r="G14" s="135">
        <v>0.4491</v>
      </c>
      <c r="H14" s="135" t="s">
        <v>254</v>
      </c>
      <c r="I14" s="16"/>
      <c r="J14" s="121"/>
    </row>
    <row r="15" spans="2:10" ht="41.25" customHeight="1" x14ac:dyDescent="0.2">
      <c r="B15" s="667" t="s">
        <v>287</v>
      </c>
      <c r="C15" s="730"/>
      <c r="D15" s="135">
        <v>0.52</v>
      </c>
      <c r="E15" s="135">
        <v>0.45700000000000002</v>
      </c>
      <c r="F15" s="135">
        <v>0.38700000000000001</v>
      </c>
      <c r="G15" s="135">
        <v>0.43730000000000002</v>
      </c>
      <c r="H15" s="135">
        <v>0.43</v>
      </c>
      <c r="I15" s="16"/>
      <c r="J15" s="121"/>
    </row>
    <row r="16" spans="2:10" ht="41.25" customHeight="1" x14ac:dyDescent="0.2">
      <c r="B16" s="667" t="s">
        <v>241</v>
      </c>
      <c r="C16" s="730"/>
      <c r="D16" s="135">
        <v>0.68600000000000005</v>
      </c>
      <c r="E16" s="135">
        <v>0.67900000000000005</v>
      </c>
      <c r="F16" s="135">
        <v>0.68400000000000005</v>
      </c>
      <c r="G16" s="135">
        <v>0.69730000000000003</v>
      </c>
      <c r="H16" s="135">
        <v>0.64</v>
      </c>
      <c r="I16" s="16"/>
      <c r="J16" s="121"/>
    </row>
    <row r="17" spans="2:14" ht="41.25" customHeight="1" x14ac:dyDescent="0.2">
      <c r="B17" s="667" t="s">
        <v>331</v>
      </c>
      <c r="C17" s="730"/>
      <c r="D17" s="135">
        <v>0.71499999999999997</v>
      </c>
      <c r="E17" s="135">
        <v>0.70899999999999996</v>
      </c>
      <c r="F17" s="135">
        <v>0.64500000000000002</v>
      </c>
      <c r="G17" s="135">
        <v>0.57050000000000001</v>
      </c>
      <c r="H17" s="135" t="s">
        <v>254</v>
      </c>
      <c r="I17" s="16"/>
      <c r="J17" s="121"/>
      <c r="K17" s="21"/>
      <c r="L17" s="26"/>
      <c r="M17" s="26"/>
    </row>
    <row r="18" spans="2:14" ht="41.25" customHeight="1" x14ac:dyDescent="0.2">
      <c r="B18" s="667" t="s">
        <v>550</v>
      </c>
      <c r="C18" s="730"/>
      <c r="D18" s="135">
        <v>0.76700000000000002</v>
      </c>
      <c r="E18" s="135">
        <v>0.78200000000000003</v>
      </c>
      <c r="F18" s="135">
        <v>0.72399999999999998</v>
      </c>
      <c r="G18" s="135">
        <v>0.74019999999999997</v>
      </c>
      <c r="H18" s="135" t="s">
        <v>254</v>
      </c>
      <c r="I18" s="16"/>
      <c r="J18" s="121"/>
      <c r="K18" s="21"/>
      <c r="L18" s="26"/>
      <c r="M18" s="26"/>
    </row>
    <row r="19" spans="2:14" ht="41.25" customHeight="1" x14ac:dyDescent="0.2">
      <c r="B19" s="667" t="s">
        <v>244</v>
      </c>
      <c r="C19" s="667"/>
      <c r="D19" s="135">
        <v>0.54600000000000004</v>
      </c>
      <c r="E19" s="135">
        <v>0.501</v>
      </c>
      <c r="F19" s="135">
        <v>0.53300000000000003</v>
      </c>
      <c r="G19" s="135">
        <v>0.48099999999999998</v>
      </c>
      <c r="H19" s="135">
        <v>0.67</v>
      </c>
      <c r="I19" s="16"/>
      <c r="J19" s="121"/>
      <c r="K19" s="21"/>
      <c r="L19" s="26"/>
      <c r="M19" s="26"/>
    </row>
    <row r="20" spans="2:14" ht="41.25" customHeight="1" x14ac:dyDescent="0.25">
      <c r="B20" s="838" t="s">
        <v>245</v>
      </c>
      <c r="C20" s="838"/>
      <c r="D20" s="135">
        <v>0.71099999999999997</v>
      </c>
      <c r="E20" s="135">
        <v>0.80100000000000005</v>
      </c>
      <c r="F20" s="135">
        <v>0.63400000000000001</v>
      </c>
      <c r="G20" s="135">
        <v>0.6724</v>
      </c>
      <c r="H20" s="135">
        <v>0.46</v>
      </c>
      <c r="I20" s="16"/>
      <c r="J20" s="121"/>
      <c r="K20" s="21"/>
      <c r="L20" s="26"/>
      <c r="M20" s="26"/>
    </row>
    <row r="21" spans="2:14" ht="41.25" customHeight="1" x14ac:dyDescent="0.2">
      <c r="B21" s="667" t="s">
        <v>246</v>
      </c>
      <c r="C21" s="667"/>
      <c r="D21" s="135">
        <v>0.81799999999999995</v>
      </c>
      <c r="E21" s="135">
        <v>0.82799999999999996</v>
      </c>
      <c r="F21" s="135">
        <v>0.752</v>
      </c>
      <c r="G21" s="135">
        <v>0.7702</v>
      </c>
      <c r="H21" s="135">
        <v>0.78</v>
      </c>
      <c r="I21" s="16"/>
      <c r="J21" s="27"/>
    </row>
    <row r="22" spans="2:14" ht="41.25" customHeight="1" x14ac:dyDescent="0.2">
      <c r="B22" s="667" t="s">
        <v>247</v>
      </c>
      <c r="C22" s="667"/>
      <c r="D22" s="135">
        <v>0.55300000000000005</v>
      </c>
      <c r="E22" s="135">
        <v>0.53</v>
      </c>
      <c r="F22" s="135">
        <v>0.51800000000000002</v>
      </c>
      <c r="G22" s="135">
        <v>0.57789999999999997</v>
      </c>
      <c r="H22" s="135">
        <v>0.67</v>
      </c>
      <c r="I22" s="16"/>
      <c r="J22" s="28"/>
      <c r="K22" s="53"/>
      <c r="L22" s="53"/>
      <c r="M22" s="53"/>
      <c r="N22" s="53"/>
    </row>
    <row r="23" spans="2:14" ht="41.25" customHeight="1" x14ac:dyDescent="0.2">
      <c r="B23" s="667" t="s">
        <v>248</v>
      </c>
      <c r="C23" s="667"/>
      <c r="D23" s="135">
        <v>0.70399999999999996</v>
      </c>
      <c r="E23" s="135">
        <v>0.74299999999999999</v>
      </c>
      <c r="F23" s="135">
        <v>0.59399999999999997</v>
      </c>
      <c r="G23" s="135">
        <v>0.51829999999999998</v>
      </c>
      <c r="H23" s="135">
        <v>0.57999999999999996</v>
      </c>
      <c r="I23" s="16"/>
      <c r="J23" s="28"/>
      <c r="K23" s="53"/>
      <c r="L23" s="53"/>
      <c r="M23" s="53"/>
      <c r="N23" s="53"/>
    </row>
    <row r="24" spans="2:14" ht="22.5" customHeight="1" x14ac:dyDescent="0.2">
      <c r="B24" s="642" t="e">
        <f>D5</f>
        <v>#REF!</v>
      </c>
      <c r="C24" s="642"/>
      <c r="D24" s="15">
        <f>COUNTIF(D13:D23,"&gt;=55%")</f>
        <v>7</v>
      </c>
      <c r="E24" s="15">
        <f t="shared" ref="E24:G24" si="0">COUNTIF(E13:E23,"&gt;=55%")</f>
        <v>6</v>
      </c>
      <c r="F24" s="15">
        <f t="shared" si="0"/>
        <v>6</v>
      </c>
      <c r="G24" s="15">
        <f t="shared" si="0"/>
        <v>6</v>
      </c>
      <c r="H24" s="15">
        <f t="shared" ref="H24" si="1">COUNTIF(H13:H23,"&gt;=55%")</f>
        <v>5</v>
      </c>
    </row>
    <row r="25" spans="2:14" ht="22.5" customHeight="1" x14ac:dyDescent="0.2">
      <c r="B25" s="644" t="s">
        <v>268</v>
      </c>
      <c r="C25" s="644"/>
      <c r="D25" s="15">
        <f>COUNT(D13:D23)</f>
        <v>11</v>
      </c>
      <c r="E25" s="15">
        <f t="shared" ref="E25:G25" si="2">COUNT(E13:E23)</f>
        <v>11</v>
      </c>
      <c r="F25" s="15">
        <f t="shared" si="2"/>
        <v>11</v>
      </c>
      <c r="G25" s="15">
        <f t="shared" si="2"/>
        <v>11</v>
      </c>
      <c r="H25" s="15">
        <f t="shared" ref="H25" si="3">COUNT(H13:H23)</f>
        <v>8</v>
      </c>
    </row>
    <row r="26" spans="2:14" ht="22.5" customHeight="1" x14ac:dyDescent="0.2">
      <c r="B26" s="43" t="s">
        <v>225</v>
      </c>
      <c r="C26" s="130" t="e">
        <f>D5</f>
        <v>#REF!</v>
      </c>
      <c r="D26" s="75">
        <v>0.55000000000000004</v>
      </c>
      <c r="E26" s="75">
        <v>0.55000000000000004</v>
      </c>
      <c r="F26" s="75">
        <v>0.55000000000000004</v>
      </c>
      <c r="G26" s="75">
        <v>0.55000000000000004</v>
      </c>
      <c r="H26" s="75">
        <v>0.55000000000000004</v>
      </c>
      <c r="I26" s="23"/>
    </row>
    <row r="27" spans="2:14" ht="22.5" customHeight="1" x14ac:dyDescent="0.2">
      <c r="B27" s="640" t="s">
        <v>226</v>
      </c>
      <c r="C27" s="706"/>
      <c r="D27" s="46">
        <f>D24/D25</f>
        <v>0.63636363636363635</v>
      </c>
      <c r="E27" s="46">
        <f>E24/E25</f>
        <v>0.54545454545454541</v>
      </c>
      <c r="F27" s="46">
        <f>F24/F25</f>
        <v>0.54545454545454541</v>
      </c>
      <c r="G27" s="46">
        <f>G24/G25</f>
        <v>0.54545454545454541</v>
      </c>
      <c r="H27" s="46">
        <f>H24/H25</f>
        <v>0.625</v>
      </c>
      <c r="I27" s="24"/>
    </row>
    <row r="28" spans="2:14" ht="22.5" customHeight="1" x14ac:dyDescent="0.25">
      <c r="B28" s="5"/>
      <c r="C28" s="5"/>
      <c r="D28" s="4"/>
      <c r="E28" s="4"/>
      <c r="F28" s="4"/>
      <c r="G28" s="4"/>
      <c r="H28" s="4"/>
      <c r="I28" s="4"/>
      <c r="J28" s="4"/>
    </row>
    <row r="29" spans="2:14" ht="22.5" customHeight="1" x14ac:dyDescent="0.2">
      <c r="B29" s="572" t="s">
        <v>227</v>
      </c>
      <c r="C29" s="573"/>
      <c r="D29" s="573"/>
      <c r="E29" s="574"/>
      <c r="F29" s="6"/>
      <c r="K29" s="572" t="s">
        <v>228</v>
      </c>
      <c r="L29" s="573"/>
      <c r="M29" s="573"/>
      <c r="N29" s="574"/>
    </row>
    <row r="30" spans="2:14" ht="22.5" customHeight="1" x14ac:dyDescent="0.2">
      <c r="B30" s="6"/>
      <c r="C30" s="6"/>
      <c r="D30" s="6"/>
      <c r="E30" s="6"/>
      <c r="F30" s="6"/>
      <c r="K30" s="7"/>
      <c r="L30" s="7"/>
      <c r="M30" s="7"/>
      <c r="N30" s="7"/>
    </row>
    <row r="31" spans="2:14" ht="6" customHeight="1" x14ac:dyDescent="0.2">
      <c r="B31" s="6"/>
      <c r="C31" s="6"/>
      <c r="D31" s="6"/>
      <c r="E31" s="6"/>
      <c r="F31" s="6"/>
      <c r="K31" s="610" t="s">
        <v>551</v>
      </c>
      <c r="L31" s="560"/>
      <c r="M31" s="560"/>
      <c r="N31" s="561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2"/>
      <c r="L36" s="563"/>
      <c r="M36" s="563"/>
      <c r="N36" s="564"/>
    </row>
    <row r="37" spans="8:14" ht="19.5" customHeight="1" x14ac:dyDescent="0.2">
      <c r="K37" s="562"/>
      <c r="L37" s="563"/>
      <c r="M37" s="563"/>
      <c r="N37" s="564"/>
    </row>
    <row r="38" spans="8:14" ht="19.5" customHeight="1" x14ac:dyDescent="0.2">
      <c r="K38" s="562"/>
      <c r="L38" s="563"/>
      <c r="M38" s="563"/>
      <c r="N38" s="564"/>
    </row>
    <row r="39" spans="8:14" ht="19.5" customHeight="1" x14ac:dyDescent="0.2">
      <c r="K39" s="565"/>
      <c r="L39" s="566"/>
      <c r="M39" s="566"/>
      <c r="N39" s="567"/>
    </row>
    <row r="40" spans="8:14" ht="19.5" customHeight="1" x14ac:dyDescent="0.2"/>
    <row r="41" spans="8:14" ht="19.5" customHeight="1" x14ac:dyDescent="0.2">
      <c r="H41" s="568" t="s">
        <v>169</v>
      </c>
      <c r="I41" s="569"/>
      <c r="J41" s="569"/>
    </row>
  </sheetData>
  <sheetProtection sheet="1" formatCells="0" formatColumns="0" formatRows="0" insertColumns="0" insertRows="0" insertHyperlinks="0" deleteColumns="0" deleteRows="0" pivotTables="0"/>
  <mergeCells count="34">
    <mergeCell ref="H41:J41"/>
    <mergeCell ref="B25:C25"/>
    <mergeCell ref="B27:C27"/>
    <mergeCell ref="B29:E29"/>
    <mergeCell ref="K29:N29"/>
    <mergeCell ref="K31:N39"/>
    <mergeCell ref="B18:C18"/>
    <mergeCell ref="B19:C19"/>
    <mergeCell ref="B21:C21"/>
    <mergeCell ref="B22:C22"/>
    <mergeCell ref="B24:C24"/>
    <mergeCell ref="B20:C20"/>
    <mergeCell ref="B23:C23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23">
    <cfRule type="cellIs" dxfId="23" priority="1" operator="lessThan">
      <formula>0.55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E63C-2FCE-43F4-9D16-AE782938BBD5}">
  <sheetPr>
    <tabColor theme="9" tint="-0.499984740745262"/>
    <pageSetUpPr fitToPage="1"/>
  </sheetPr>
  <dimension ref="B2:N48"/>
  <sheetViews>
    <sheetView showGridLines="0" topLeftCell="A20" workbookViewId="0">
      <selection activeCell="H21" sqref="H21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3"/>
      <c r="H5" s="813" t="s">
        <v>235</v>
      </c>
      <c r="I5" s="837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552</v>
      </c>
      <c r="G6" s="574"/>
      <c r="H6" s="102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89" t="s">
        <v>218</v>
      </c>
      <c r="E12" s="89" t="s">
        <v>219</v>
      </c>
      <c r="F12" s="89" t="s">
        <v>220</v>
      </c>
      <c r="G12" s="364" t="s">
        <v>221</v>
      </c>
      <c r="H12" s="89" t="s">
        <v>222</v>
      </c>
      <c r="I12" s="89" t="s">
        <v>223</v>
      </c>
    </row>
    <row r="13" spans="2:10" ht="41.25" customHeight="1" thickBot="1" x14ac:dyDescent="0.25">
      <c r="B13" s="667" t="s">
        <v>238</v>
      </c>
      <c r="C13" s="667"/>
      <c r="D13" s="114">
        <v>3.25</v>
      </c>
      <c r="E13" s="114">
        <v>3.63</v>
      </c>
      <c r="F13" s="29">
        <v>3.6</v>
      </c>
      <c r="G13" s="365">
        <v>3.6</v>
      </c>
      <c r="H13" s="114">
        <v>3.47</v>
      </c>
      <c r="I13" s="469" t="s">
        <v>254</v>
      </c>
    </row>
    <row r="14" spans="2:10" ht="41.25" customHeight="1" thickBot="1" x14ac:dyDescent="0.25">
      <c r="B14" s="667" t="s">
        <v>337</v>
      </c>
      <c r="C14" s="667"/>
      <c r="D14" s="114" t="s">
        <v>231</v>
      </c>
      <c r="E14" s="114" t="s">
        <v>231</v>
      </c>
      <c r="F14" s="29" t="s">
        <v>231</v>
      </c>
      <c r="G14" s="365" t="s">
        <v>231</v>
      </c>
      <c r="H14" s="114">
        <v>3.86</v>
      </c>
      <c r="I14" s="470" t="s">
        <v>254</v>
      </c>
    </row>
    <row r="15" spans="2:10" ht="41.25" customHeight="1" thickBot="1" x14ac:dyDescent="0.25">
      <c r="B15" s="667" t="s">
        <v>287</v>
      </c>
      <c r="C15" s="667"/>
      <c r="D15" s="114">
        <v>4</v>
      </c>
      <c r="E15" s="114">
        <v>2</v>
      </c>
      <c r="F15" s="29">
        <v>3.4</v>
      </c>
      <c r="G15" s="365">
        <v>4</v>
      </c>
      <c r="H15" s="114">
        <v>3.33</v>
      </c>
      <c r="I15" s="470" t="s">
        <v>254</v>
      </c>
    </row>
    <row r="16" spans="2:10" ht="41.25" customHeight="1" thickBot="1" x14ac:dyDescent="0.25">
      <c r="B16" s="667" t="s">
        <v>241</v>
      </c>
      <c r="C16" s="667"/>
      <c r="D16" s="114">
        <v>2.44</v>
      </c>
      <c r="E16" s="114">
        <v>4.2</v>
      </c>
      <c r="F16" s="29">
        <v>3.83</v>
      </c>
      <c r="G16" s="365">
        <v>2.5</v>
      </c>
      <c r="H16" s="114">
        <v>3.33</v>
      </c>
      <c r="I16" s="470" t="s">
        <v>254</v>
      </c>
    </row>
    <row r="17" spans="2:9" ht="41.25" customHeight="1" thickBot="1" x14ac:dyDescent="0.25">
      <c r="B17" s="667" t="s">
        <v>330</v>
      </c>
      <c r="C17" s="667"/>
      <c r="D17" s="114">
        <v>3</v>
      </c>
      <c r="E17" s="114">
        <v>2.95</v>
      </c>
      <c r="F17" s="29">
        <v>3.15</v>
      </c>
      <c r="G17" s="365">
        <v>2.67</v>
      </c>
      <c r="H17" s="114">
        <v>3.56</v>
      </c>
      <c r="I17" s="470" t="s">
        <v>254</v>
      </c>
    </row>
    <row r="18" spans="2:9" ht="41.25" customHeight="1" thickBot="1" x14ac:dyDescent="0.25">
      <c r="B18" s="667" t="s">
        <v>331</v>
      </c>
      <c r="C18" s="667"/>
      <c r="D18" s="114">
        <v>3.13</v>
      </c>
      <c r="E18" s="114">
        <v>3.25</v>
      </c>
      <c r="F18" s="54" t="s">
        <v>311</v>
      </c>
      <c r="G18" s="365">
        <v>3</v>
      </c>
      <c r="H18" s="114">
        <v>3.63</v>
      </c>
      <c r="I18" s="470" t="s">
        <v>254</v>
      </c>
    </row>
    <row r="19" spans="2:9" ht="41.25" customHeight="1" thickBot="1" x14ac:dyDescent="0.25">
      <c r="B19" s="667" t="s">
        <v>244</v>
      </c>
      <c r="C19" s="667"/>
      <c r="D19" s="114">
        <v>3.2</v>
      </c>
      <c r="E19" s="114">
        <v>3.71</v>
      </c>
      <c r="F19" s="54" t="s">
        <v>311</v>
      </c>
      <c r="G19" s="365">
        <v>3.5</v>
      </c>
      <c r="H19" s="115">
        <v>3.86</v>
      </c>
      <c r="I19" s="470" t="s">
        <v>254</v>
      </c>
    </row>
    <row r="20" spans="2:9" ht="41.25" customHeight="1" thickBot="1" x14ac:dyDescent="0.25">
      <c r="B20" s="730" t="s">
        <v>344</v>
      </c>
      <c r="C20" s="735"/>
      <c r="D20" s="114">
        <v>3.8</v>
      </c>
      <c r="E20" s="114">
        <v>3.33</v>
      </c>
      <c r="F20" s="54" t="s">
        <v>311</v>
      </c>
      <c r="G20" s="366" t="s">
        <v>311</v>
      </c>
      <c r="H20" s="114">
        <v>4.8600000000000003</v>
      </c>
      <c r="I20" s="470" t="s">
        <v>254</v>
      </c>
    </row>
    <row r="21" spans="2:9" ht="41.25" customHeight="1" thickBot="1" x14ac:dyDescent="0.25">
      <c r="B21" s="667" t="s">
        <v>246</v>
      </c>
      <c r="C21" s="667"/>
      <c r="D21" s="114">
        <v>3.64</v>
      </c>
      <c r="E21" s="114">
        <v>4.07</v>
      </c>
      <c r="F21" s="29">
        <v>3.55</v>
      </c>
      <c r="G21" s="365">
        <v>3.2</v>
      </c>
      <c r="H21" s="114">
        <v>4.03</v>
      </c>
      <c r="I21" s="470" t="s">
        <v>254</v>
      </c>
    </row>
    <row r="22" spans="2:9" ht="41.25" customHeight="1" thickBot="1" x14ac:dyDescent="0.25">
      <c r="B22" s="667" t="s">
        <v>247</v>
      </c>
      <c r="C22" s="667"/>
      <c r="D22" s="114">
        <v>3.4</v>
      </c>
      <c r="E22" s="114">
        <v>3.33</v>
      </c>
      <c r="F22" s="29">
        <v>3.4</v>
      </c>
      <c r="G22" s="365">
        <v>3</v>
      </c>
      <c r="H22" s="114">
        <v>3.64</v>
      </c>
      <c r="I22" s="470" t="s">
        <v>254</v>
      </c>
    </row>
    <row r="23" spans="2:9" ht="41.25" customHeight="1" thickBot="1" x14ac:dyDescent="0.25">
      <c r="B23" s="667" t="s">
        <v>248</v>
      </c>
      <c r="C23" s="667"/>
      <c r="D23" s="29" t="s">
        <v>311</v>
      </c>
      <c r="E23" s="114">
        <v>3.15</v>
      </c>
      <c r="F23" s="29">
        <v>3.17</v>
      </c>
      <c r="G23" s="365">
        <v>4</v>
      </c>
      <c r="H23" s="115">
        <v>3.32</v>
      </c>
      <c r="I23" s="470" t="s">
        <v>254</v>
      </c>
    </row>
    <row r="24" spans="2:9" ht="41.25" customHeight="1" thickBot="1" x14ac:dyDescent="0.25">
      <c r="B24" s="667" t="s">
        <v>261</v>
      </c>
      <c r="C24" s="667"/>
      <c r="D24" s="114">
        <v>3</v>
      </c>
      <c r="E24" s="114">
        <v>5</v>
      </c>
      <c r="F24" s="29">
        <v>3.83</v>
      </c>
      <c r="G24" s="366" t="s">
        <v>311</v>
      </c>
      <c r="H24" s="115">
        <v>3.72</v>
      </c>
      <c r="I24" s="470" t="s">
        <v>254</v>
      </c>
    </row>
    <row r="25" spans="2:9" ht="41.25" customHeight="1" thickBot="1" x14ac:dyDescent="0.25">
      <c r="B25" s="667" t="s">
        <v>292</v>
      </c>
      <c r="C25" s="667"/>
      <c r="D25" s="114">
        <v>3</v>
      </c>
      <c r="E25" s="114">
        <v>4</v>
      </c>
      <c r="F25" s="29" t="s">
        <v>553</v>
      </c>
      <c r="G25" s="366" t="s">
        <v>311</v>
      </c>
      <c r="H25" s="115">
        <v>3.75</v>
      </c>
      <c r="I25" s="470" t="s">
        <v>254</v>
      </c>
    </row>
    <row r="26" spans="2:9" ht="41.25" customHeight="1" thickBot="1" x14ac:dyDescent="0.25">
      <c r="B26" s="667" t="s">
        <v>275</v>
      </c>
      <c r="C26" s="667"/>
      <c r="D26" s="114">
        <v>5</v>
      </c>
      <c r="E26" s="114">
        <v>5</v>
      </c>
      <c r="F26" s="29">
        <v>4.22</v>
      </c>
      <c r="G26" s="366" t="s">
        <v>311</v>
      </c>
      <c r="H26" s="115">
        <v>4.09</v>
      </c>
      <c r="I26" s="470" t="s">
        <v>254</v>
      </c>
    </row>
    <row r="27" spans="2:9" ht="41.25" customHeight="1" thickBot="1" x14ac:dyDescent="0.25">
      <c r="B27" s="667" t="s">
        <v>264</v>
      </c>
      <c r="C27" s="667"/>
      <c r="D27" s="114">
        <v>4</v>
      </c>
      <c r="E27" s="54" t="s">
        <v>311</v>
      </c>
      <c r="F27" s="29" t="s">
        <v>290</v>
      </c>
      <c r="G27" s="365">
        <v>2</v>
      </c>
      <c r="H27" s="114">
        <v>3</v>
      </c>
      <c r="I27" s="470" t="s">
        <v>254</v>
      </c>
    </row>
    <row r="28" spans="2:9" ht="41.25" customHeight="1" thickBot="1" x14ac:dyDescent="0.25">
      <c r="B28" s="667" t="s">
        <v>277</v>
      </c>
      <c r="C28" s="667"/>
      <c r="D28" s="114">
        <v>3</v>
      </c>
      <c r="E28" s="114">
        <v>3.67</v>
      </c>
      <c r="F28" s="29" t="s">
        <v>290</v>
      </c>
      <c r="G28" s="365">
        <v>3</v>
      </c>
      <c r="H28" s="114">
        <v>3.78</v>
      </c>
      <c r="I28" s="470" t="s">
        <v>254</v>
      </c>
    </row>
    <row r="29" spans="2:9" ht="41.25" customHeight="1" thickBot="1" x14ac:dyDescent="0.25">
      <c r="B29" s="667" t="s">
        <v>265</v>
      </c>
      <c r="C29" s="667"/>
      <c r="D29" s="114">
        <v>5</v>
      </c>
      <c r="E29" s="114">
        <v>4</v>
      </c>
      <c r="F29" s="29" t="s">
        <v>290</v>
      </c>
      <c r="G29" s="366" t="s">
        <v>311</v>
      </c>
      <c r="H29" s="115" t="s">
        <v>231</v>
      </c>
      <c r="I29" s="470" t="s">
        <v>254</v>
      </c>
    </row>
    <row r="30" spans="2:9" ht="41.25" customHeight="1" thickBot="1" x14ac:dyDescent="0.25">
      <c r="B30" s="667" t="s">
        <v>279</v>
      </c>
      <c r="C30" s="667"/>
      <c r="D30" s="114">
        <v>2</v>
      </c>
      <c r="E30" s="114">
        <v>5</v>
      </c>
      <c r="F30" s="29" t="s">
        <v>290</v>
      </c>
      <c r="G30" s="365">
        <v>2.67</v>
      </c>
      <c r="H30" s="114">
        <v>3.77</v>
      </c>
      <c r="I30" s="470" t="s">
        <v>254</v>
      </c>
    </row>
    <row r="31" spans="2:9" ht="22.5" customHeight="1" thickBot="1" x14ac:dyDescent="0.25">
      <c r="B31" s="785" t="e">
        <f>D5</f>
        <v>#REF!</v>
      </c>
      <c r="C31" s="785"/>
      <c r="D31" s="48">
        <f t="shared" ref="D31:H31" si="0">COUNTIF(D13:D30,"&gt;=3")</f>
        <v>14</v>
      </c>
      <c r="E31" s="48">
        <f t="shared" si="0"/>
        <v>14</v>
      </c>
      <c r="F31" s="48">
        <f t="shared" si="0"/>
        <v>9</v>
      </c>
      <c r="G31" s="48">
        <f t="shared" si="0"/>
        <v>8</v>
      </c>
      <c r="H31" s="327">
        <f t="shared" si="0"/>
        <v>17</v>
      </c>
      <c r="I31" s="470" t="s">
        <v>254</v>
      </c>
    </row>
    <row r="32" spans="2:9" ht="22.5" customHeight="1" x14ac:dyDescent="0.2">
      <c r="B32" s="644" t="s">
        <v>268</v>
      </c>
      <c r="C32" s="644"/>
      <c r="D32" s="48">
        <f t="shared" ref="D32:I32" si="1">COUNT(D13:D30)</f>
        <v>16</v>
      </c>
      <c r="E32" s="48">
        <f t="shared" si="1"/>
        <v>16</v>
      </c>
      <c r="F32" s="48">
        <f t="shared" si="1"/>
        <v>9</v>
      </c>
      <c r="G32" s="48">
        <f t="shared" si="1"/>
        <v>12</v>
      </c>
      <c r="H32" s="48">
        <f t="shared" si="1"/>
        <v>17</v>
      </c>
      <c r="I32" s="48">
        <f t="shared" si="1"/>
        <v>0</v>
      </c>
    </row>
    <row r="33" spans="2:14" ht="22.5" customHeight="1" x14ac:dyDescent="0.2">
      <c r="B33" s="43" t="s">
        <v>225</v>
      </c>
      <c r="C33" s="10" t="e">
        <f>D5</f>
        <v>#REF!</v>
      </c>
      <c r="D33" s="60">
        <v>3</v>
      </c>
      <c r="E33" s="60">
        <v>3</v>
      </c>
      <c r="F33" s="60">
        <v>3</v>
      </c>
      <c r="G33" s="60">
        <v>3</v>
      </c>
      <c r="H33" s="60">
        <v>3</v>
      </c>
      <c r="I33" s="60">
        <v>3</v>
      </c>
    </row>
    <row r="34" spans="2:14" ht="22.5" customHeight="1" x14ac:dyDescent="0.2">
      <c r="B34" s="640" t="s">
        <v>226</v>
      </c>
      <c r="C34" s="706"/>
      <c r="D34" s="50">
        <f t="shared" ref="D34:I34" si="2">D31/D32</f>
        <v>0.875</v>
      </c>
      <c r="E34" s="50">
        <f t="shared" si="2"/>
        <v>0.875</v>
      </c>
      <c r="F34" s="487">
        <f t="shared" si="2"/>
        <v>1</v>
      </c>
      <c r="G34" s="50">
        <f t="shared" si="2"/>
        <v>0.66666666666666663</v>
      </c>
      <c r="H34" s="487">
        <f t="shared" si="2"/>
        <v>1</v>
      </c>
      <c r="I34" s="50" t="e">
        <f t="shared" si="2"/>
        <v>#VALUE!</v>
      </c>
    </row>
    <row r="35" spans="2:14" ht="22.5" customHeight="1" x14ac:dyDescent="0.25">
      <c r="B35" s="5"/>
      <c r="C35" s="5"/>
      <c r="D35" s="4"/>
      <c r="E35" s="4"/>
      <c r="F35" s="4"/>
      <c r="G35" s="4"/>
      <c r="H35" s="4"/>
      <c r="I35" s="4"/>
      <c r="J35" s="4"/>
    </row>
    <row r="36" spans="2:14" ht="22.5" customHeight="1" x14ac:dyDescent="0.2">
      <c r="B36" s="572" t="s">
        <v>227</v>
      </c>
      <c r="C36" s="573"/>
      <c r="D36" s="573"/>
      <c r="E36" s="574"/>
      <c r="F36" s="6"/>
      <c r="K36" s="572" t="s">
        <v>228</v>
      </c>
      <c r="L36" s="573"/>
      <c r="M36" s="573"/>
      <c r="N36" s="574"/>
    </row>
    <row r="37" spans="2:14" ht="22.5" customHeight="1" x14ac:dyDescent="0.2">
      <c r="B37" s="6"/>
      <c r="C37" s="6"/>
      <c r="D37" s="6"/>
      <c r="E37" s="6"/>
      <c r="F37" s="6"/>
      <c r="K37" s="7"/>
      <c r="L37" s="7"/>
      <c r="M37" s="7"/>
      <c r="N37" s="7"/>
    </row>
    <row r="38" spans="2:14" ht="6" customHeight="1" x14ac:dyDescent="0.2">
      <c r="B38" s="6"/>
      <c r="C38" s="6"/>
      <c r="D38" s="6"/>
      <c r="E38" s="6"/>
      <c r="F38" s="6"/>
      <c r="K38" s="610" t="s">
        <v>554</v>
      </c>
      <c r="L38" s="560"/>
      <c r="M38" s="560"/>
      <c r="N38" s="561"/>
    </row>
    <row r="39" spans="2:14" ht="19.5" customHeight="1" x14ac:dyDescent="0.2">
      <c r="B39" s="6"/>
      <c r="C39" s="6"/>
      <c r="D39" s="6"/>
      <c r="E39" s="6"/>
      <c r="F39" s="6"/>
      <c r="K39" s="562"/>
      <c r="L39" s="563"/>
      <c r="M39" s="563"/>
      <c r="N39" s="564"/>
    </row>
    <row r="40" spans="2:14" ht="19.5" customHeight="1" x14ac:dyDescent="0.2">
      <c r="B40" s="6"/>
      <c r="C40" s="6"/>
      <c r="D40" s="6"/>
      <c r="E40" s="6"/>
      <c r="F40" s="6"/>
      <c r="K40" s="562"/>
      <c r="L40" s="563"/>
      <c r="M40" s="563"/>
      <c r="N40" s="564"/>
    </row>
    <row r="41" spans="2:14" ht="19.5" customHeight="1" x14ac:dyDescent="0.2">
      <c r="B41" s="6"/>
      <c r="C41" s="6"/>
      <c r="D41" s="6"/>
      <c r="E41" s="6"/>
      <c r="F41" s="6"/>
      <c r="K41" s="562"/>
      <c r="L41" s="563"/>
      <c r="M41" s="563"/>
      <c r="N41" s="564"/>
    </row>
    <row r="42" spans="2:14" ht="19.5" customHeight="1" x14ac:dyDescent="0.2">
      <c r="B42" s="6"/>
      <c r="C42" s="6"/>
      <c r="D42" s="6"/>
      <c r="E42" s="6"/>
      <c r="F42" s="6"/>
      <c r="K42" s="562"/>
      <c r="L42" s="563"/>
      <c r="M42" s="563"/>
      <c r="N42" s="564"/>
    </row>
    <row r="43" spans="2:14" ht="19.5" customHeight="1" x14ac:dyDescent="0.2">
      <c r="B43" s="6"/>
      <c r="C43" s="6"/>
      <c r="D43" s="6"/>
      <c r="E43" s="6"/>
      <c r="F43" s="6"/>
      <c r="K43" s="562"/>
      <c r="L43" s="563"/>
      <c r="M43" s="563"/>
      <c r="N43" s="564"/>
    </row>
    <row r="44" spans="2:14" ht="19.5" customHeight="1" x14ac:dyDescent="0.2">
      <c r="B44" s="6"/>
      <c r="C44" s="6"/>
      <c r="D44" s="6"/>
      <c r="E44" s="6"/>
      <c r="F44" s="6"/>
      <c r="K44" s="562"/>
      <c r="L44" s="563"/>
      <c r="M44" s="563"/>
      <c r="N44" s="564"/>
    </row>
    <row r="45" spans="2:14" ht="19.5" customHeight="1" x14ac:dyDescent="0.2">
      <c r="B45" s="6"/>
      <c r="C45" s="6"/>
      <c r="D45" s="6"/>
      <c r="E45" s="6"/>
      <c r="F45" s="6"/>
      <c r="K45" s="562"/>
      <c r="L45" s="563"/>
      <c r="M45" s="563"/>
      <c r="N45" s="564"/>
    </row>
    <row r="46" spans="2:14" ht="19.5" customHeight="1" x14ac:dyDescent="0.2">
      <c r="B46" s="6"/>
      <c r="C46" s="6"/>
      <c r="D46" s="6"/>
      <c r="E46" s="6"/>
      <c r="F46" s="6"/>
      <c r="K46" s="565"/>
      <c r="L46" s="566"/>
      <c r="M46" s="566"/>
      <c r="N46" s="567"/>
    </row>
    <row r="47" spans="2:14" ht="19.5" customHeight="1" x14ac:dyDescent="0.2"/>
    <row r="48" spans="2:14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1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17:C17"/>
    <mergeCell ref="B7:C7"/>
    <mergeCell ref="D7:J7"/>
    <mergeCell ref="B9:J9"/>
    <mergeCell ref="B13:C13"/>
    <mergeCell ref="B14:C14"/>
    <mergeCell ref="B15:C15"/>
    <mergeCell ref="B16:C16"/>
    <mergeCell ref="B30:C30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20:C20"/>
    <mergeCell ref="K38:N46"/>
    <mergeCell ref="H48:J48"/>
    <mergeCell ref="K36:N36"/>
    <mergeCell ref="B31:C31"/>
    <mergeCell ref="B32:C32"/>
    <mergeCell ref="B34:C34"/>
    <mergeCell ref="B36:E36"/>
  </mergeCells>
  <conditionalFormatting sqref="D13:G30">
    <cfRule type="cellIs" dxfId="22" priority="3" operator="between">
      <formula>0</formula>
      <formula>2.7</formula>
    </cfRule>
  </conditionalFormatting>
  <conditionalFormatting sqref="H13:H14">
    <cfRule type="cellIs" dxfId="21" priority="1" operator="between">
      <formula>0</formula>
      <formula>2.7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79A1-FB2D-4DA2-BBD3-5AB76F20BBE5}">
  <sheetPr>
    <tabColor theme="9" tint="-0.499984740745262"/>
    <pageSetUpPr fitToPage="1"/>
  </sheetPr>
  <dimension ref="B2:N29"/>
  <sheetViews>
    <sheetView showGridLines="0" topLeftCell="A13" workbookViewId="0">
      <selection activeCell="H15" sqref="H15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813" t="s">
        <v>230</v>
      </c>
      <c r="I5" s="837"/>
      <c r="J5" s="814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2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22"/>
    </row>
    <row r="13" spans="2:10" ht="41.25" customHeight="1" x14ac:dyDescent="0.2">
      <c r="B13" s="667" t="s">
        <v>555</v>
      </c>
      <c r="C13" s="730"/>
      <c r="D13" s="266" t="s">
        <v>231</v>
      </c>
      <c r="E13" s="266" t="s">
        <v>231</v>
      </c>
      <c r="F13" s="267" t="s">
        <v>231</v>
      </c>
      <c r="G13" s="267" t="s">
        <v>231</v>
      </c>
      <c r="H13" s="267">
        <v>3</v>
      </c>
      <c r="I13" s="16" t="s">
        <v>254</v>
      </c>
      <c r="J13" s="121"/>
    </row>
    <row r="14" spans="2:10" ht="22.5" customHeight="1" x14ac:dyDescent="0.2">
      <c r="B14" s="43" t="s">
        <v>225</v>
      </c>
      <c r="C14" s="10" t="e">
        <f>D5</f>
        <v>#REF!</v>
      </c>
      <c r="D14" s="268">
        <v>4</v>
      </c>
      <c r="E14" s="268">
        <v>4</v>
      </c>
      <c r="F14" s="268">
        <v>4</v>
      </c>
      <c r="G14" s="269">
        <v>4</v>
      </c>
      <c r="H14" s="268">
        <v>4</v>
      </c>
      <c r="I14" s="23"/>
    </row>
    <row r="15" spans="2:10" ht="22.5" customHeight="1" x14ac:dyDescent="0.2">
      <c r="B15" s="640" t="s">
        <v>226</v>
      </c>
      <c r="C15" s="706"/>
      <c r="D15" s="46"/>
      <c r="E15" s="46"/>
      <c r="F15" s="46"/>
      <c r="G15" s="263"/>
      <c r="H15" s="46">
        <f>H13/H14</f>
        <v>0.75</v>
      </c>
      <c r="I15" s="24"/>
    </row>
    <row r="17" spans="2:14" ht="22.5" customHeight="1" x14ac:dyDescent="0.2">
      <c r="B17" s="572" t="s">
        <v>227</v>
      </c>
      <c r="C17" s="573"/>
      <c r="D17" s="573"/>
      <c r="E17" s="574"/>
      <c r="F17" s="6"/>
      <c r="K17" s="572" t="s">
        <v>228</v>
      </c>
      <c r="L17" s="573"/>
      <c r="M17" s="573"/>
      <c r="N17" s="574"/>
    </row>
    <row r="18" spans="2:14" ht="22.5" customHeight="1" x14ac:dyDescent="0.2">
      <c r="B18" s="6"/>
      <c r="C18" s="6"/>
      <c r="D18" s="6"/>
      <c r="E18" s="6"/>
      <c r="F18" s="6"/>
      <c r="K18" s="7"/>
      <c r="L18" s="7"/>
      <c r="M18" s="7"/>
      <c r="N18" s="7"/>
    </row>
    <row r="19" spans="2:14" ht="6" customHeight="1" x14ac:dyDescent="0.2">
      <c r="B19" s="6"/>
      <c r="C19" s="6"/>
      <c r="D19" s="6"/>
      <c r="E19" s="6"/>
      <c r="F19" s="6"/>
      <c r="K19" s="610" t="s">
        <v>556</v>
      </c>
      <c r="L19" s="560"/>
      <c r="M19" s="560"/>
      <c r="N19" s="561"/>
    </row>
    <row r="20" spans="2:14" ht="19.5" customHeight="1" x14ac:dyDescent="0.2">
      <c r="B20" s="6"/>
      <c r="C20" s="6"/>
      <c r="D20" s="6"/>
      <c r="E20" s="6"/>
      <c r="F20" s="6"/>
      <c r="K20" s="562"/>
      <c r="L20" s="563"/>
      <c r="M20" s="563"/>
      <c r="N20" s="564"/>
    </row>
    <row r="21" spans="2:14" ht="19.5" customHeight="1" x14ac:dyDescent="0.2">
      <c r="B21" s="6"/>
      <c r="C21" s="6"/>
      <c r="D21" s="6"/>
      <c r="E21" s="6"/>
      <c r="F21" s="6"/>
      <c r="K21" s="562"/>
      <c r="L21" s="563"/>
      <c r="M21" s="563"/>
      <c r="N21" s="564"/>
    </row>
    <row r="22" spans="2:14" ht="19.5" customHeight="1" x14ac:dyDescent="0.2">
      <c r="B22" s="6"/>
      <c r="C22" s="6"/>
      <c r="D22" s="6"/>
      <c r="E22" s="6"/>
      <c r="F22" s="6"/>
      <c r="K22" s="562"/>
      <c r="L22" s="563"/>
      <c r="M22" s="563"/>
      <c r="N22" s="564"/>
    </row>
    <row r="23" spans="2:14" ht="19.5" customHeight="1" x14ac:dyDescent="0.2">
      <c r="B23" s="6"/>
      <c r="C23" s="6"/>
      <c r="D23" s="6"/>
      <c r="E23" s="6"/>
      <c r="F23" s="6"/>
      <c r="K23" s="562"/>
      <c r="L23" s="563"/>
      <c r="M23" s="563"/>
      <c r="N23" s="564"/>
    </row>
    <row r="24" spans="2:14" ht="19.5" customHeight="1" x14ac:dyDescent="0.2">
      <c r="B24" s="6"/>
      <c r="C24" s="6"/>
      <c r="D24" s="6"/>
      <c r="E24" s="6"/>
      <c r="F24" s="6"/>
      <c r="K24" s="562"/>
      <c r="L24" s="563"/>
      <c r="M24" s="563"/>
      <c r="N24" s="564"/>
    </row>
    <row r="25" spans="2:14" ht="19.5" customHeight="1" x14ac:dyDescent="0.2">
      <c r="B25" s="6"/>
      <c r="C25" s="6"/>
      <c r="D25" s="6"/>
      <c r="E25" s="6"/>
      <c r="F25" s="6"/>
      <c r="K25" s="562"/>
      <c r="L25" s="563"/>
      <c r="M25" s="563"/>
      <c r="N25" s="564"/>
    </row>
    <row r="26" spans="2:14" ht="19.5" customHeight="1" x14ac:dyDescent="0.2">
      <c r="B26" s="6"/>
      <c r="C26" s="6"/>
      <c r="D26" s="6"/>
      <c r="E26" s="6"/>
      <c r="F26" s="6"/>
      <c r="K26" s="562"/>
      <c r="L26" s="563"/>
      <c r="M26" s="563"/>
      <c r="N26" s="564"/>
    </row>
    <row r="27" spans="2:14" ht="19.5" customHeight="1" x14ac:dyDescent="0.2">
      <c r="B27" s="6"/>
      <c r="C27" s="6"/>
      <c r="D27" s="6"/>
      <c r="E27" s="6"/>
      <c r="F27" s="6"/>
      <c r="K27" s="565"/>
      <c r="L27" s="566"/>
      <c r="M27" s="566"/>
      <c r="N27" s="567"/>
    </row>
    <row r="28" spans="2:14" ht="19.5" customHeight="1" x14ac:dyDescent="0.2"/>
    <row r="29" spans="2:14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2">
    <mergeCell ref="B2:D2"/>
    <mergeCell ref="E2:J2"/>
    <mergeCell ref="B4:C4"/>
    <mergeCell ref="D4:E4"/>
    <mergeCell ref="F4:G4"/>
    <mergeCell ref="H4:J4"/>
    <mergeCell ref="B7:C7"/>
    <mergeCell ref="D7:J7"/>
    <mergeCell ref="B9:J9"/>
    <mergeCell ref="B13:C13"/>
    <mergeCell ref="B5:C5"/>
    <mergeCell ref="D5:E5"/>
    <mergeCell ref="F5:G5"/>
    <mergeCell ref="H5:J5"/>
    <mergeCell ref="B6:C6"/>
    <mergeCell ref="D6:E6"/>
    <mergeCell ref="F6:G6"/>
    <mergeCell ref="K17:N17"/>
    <mergeCell ref="K19:N27"/>
    <mergeCell ref="H29:J29"/>
    <mergeCell ref="B15:C15"/>
    <mergeCell ref="B17:E17"/>
  </mergeCells>
  <conditionalFormatting sqref="D13:H13">
    <cfRule type="cellIs" dxfId="20" priority="1" operator="lessThan">
      <formula>0.55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601E-48F3-45DC-BF2C-F8637E188874}">
  <sheetPr>
    <tabColor theme="9" tint="-0.499984740745262"/>
    <pageSetUpPr fitToPage="1"/>
  </sheetPr>
  <dimension ref="B2:N29"/>
  <sheetViews>
    <sheetView showGridLines="0" topLeftCell="A13" workbookViewId="0">
      <selection activeCell="H14" sqref="H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813" t="s">
        <v>230</v>
      </c>
      <c r="I5" s="837"/>
      <c r="J5" s="814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2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22"/>
    </row>
    <row r="13" spans="2:10" ht="41.25" customHeight="1" x14ac:dyDescent="0.2">
      <c r="B13" s="667" t="s">
        <v>557</v>
      </c>
      <c r="C13" s="730"/>
      <c r="D13" s="266" t="s">
        <v>231</v>
      </c>
      <c r="E13" s="266" t="s">
        <v>231</v>
      </c>
      <c r="F13" s="267" t="s">
        <v>231</v>
      </c>
      <c r="G13" s="267" t="s">
        <v>231</v>
      </c>
      <c r="H13" s="267">
        <v>25</v>
      </c>
      <c r="I13" s="16"/>
      <c r="J13" s="121"/>
    </row>
    <row r="14" spans="2:10" ht="22.5" customHeight="1" x14ac:dyDescent="0.2">
      <c r="B14" s="43" t="s">
        <v>225</v>
      </c>
      <c r="C14" s="471" t="s">
        <v>558</v>
      </c>
      <c r="D14" s="471">
        <v>24</v>
      </c>
      <c r="E14" s="471">
        <v>24</v>
      </c>
      <c r="F14" s="471">
        <v>24</v>
      </c>
      <c r="G14" s="471">
        <v>24</v>
      </c>
      <c r="H14" s="471">
        <v>24</v>
      </c>
      <c r="I14" s="23"/>
    </row>
    <row r="15" spans="2:10" ht="22.5" customHeight="1" x14ac:dyDescent="0.2">
      <c r="B15" s="640" t="s">
        <v>226</v>
      </c>
      <c r="C15" s="706"/>
      <c r="D15" s="46" t="s">
        <v>231</v>
      </c>
      <c r="E15" s="46" t="s">
        <v>231</v>
      </c>
      <c r="F15" s="46" t="s">
        <v>231</v>
      </c>
      <c r="G15" s="263" t="s">
        <v>231</v>
      </c>
      <c r="H15" s="46">
        <f>H13/H14</f>
        <v>1.0416666666666667</v>
      </c>
      <c r="I15" s="24"/>
    </row>
    <row r="17" spans="2:14" ht="22.5" customHeight="1" x14ac:dyDescent="0.2">
      <c r="B17" s="572" t="s">
        <v>227</v>
      </c>
      <c r="C17" s="573"/>
      <c r="D17" s="573"/>
      <c r="E17" s="574"/>
      <c r="F17" s="6"/>
      <c r="K17" s="572" t="s">
        <v>228</v>
      </c>
      <c r="L17" s="573"/>
      <c r="M17" s="573"/>
      <c r="N17" s="574"/>
    </row>
    <row r="18" spans="2:14" ht="22.5" customHeight="1" x14ac:dyDescent="0.2">
      <c r="B18" s="6"/>
      <c r="C18" s="6"/>
      <c r="D18" s="6"/>
      <c r="E18" s="6"/>
      <c r="F18" s="6"/>
      <c r="K18" s="7"/>
      <c r="L18" s="7"/>
      <c r="M18" s="7"/>
      <c r="N18" s="7"/>
    </row>
    <row r="19" spans="2:14" ht="6" customHeight="1" x14ac:dyDescent="0.2">
      <c r="B19" s="6"/>
      <c r="C19" s="6"/>
      <c r="D19" s="6"/>
      <c r="E19" s="6"/>
      <c r="F19" s="6"/>
      <c r="K19" s="610" t="s">
        <v>169</v>
      </c>
      <c r="L19" s="560"/>
      <c r="M19" s="560"/>
      <c r="N19" s="561"/>
    </row>
    <row r="20" spans="2:14" ht="19.5" customHeight="1" x14ac:dyDescent="0.2">
      <c r="B20" s="6"/>
      <c r="C20" s="6"/>
      <c r="D20" s="6"/>
      <c r="E20" s="6"/>
      <c r="F20" s="6"/>
      <c r="K20" s="562"/>
      <c r="L20" s="563"/>
      <c r="M20" s="563"/>
      <c r="N20" s="564"/>
    </row>
    <row r="21" spans="2:14" ht="19.5" customHeight="1" x14ac:dyDescent="0.2">
      <c r="B21" s="6"/>
      <c r="C21" s="6"/>
      <c r="D21" s="6"/>
      <c r="E21" s="6"/>
      <c r="F21" s="6"/>
      <c r="K21" s="562"/>
      <c r="L21" s="563"/>
      <c r="M21" s="563"/>
      <c r="N21" s="564"/>
    </row>
    <row r="22" spans="2:14" ht="19.5" customHeight="1" x14ac:dyDescent="0.2">
      <c r="B22" s="6"/>
      <c r="C22" s="6"/>
      <c r="D22" s="6"/>
      <c r="E22" s="6"/>
      <c r="F22" s="6"/>
      <c r="K22" s="562"/>
      <c r="L22" s="563"/>
      <c r="M22" s="563"/>
      <c r="N22" s="564"/>
    </row>
    <row r="23" spans="2:14" ht="19.5" customHeight="1" x14ac:dyDescent="0.2">
      <c r="B23" s="6"/>
      <c r="C23" s="6"/>
      <c r="D23" s="6"/>
      <c r="E23" s="6"/>
      <c r="F23" s="6"/>
      <c r="K23" s="562"/>
      <c r="L23" s="563"/>
      <c r="M23" s="563"/>
      <c r="N23" s="564"/>
    </row>
    <row r="24" spans="2:14" ht="19.5" customHeight="1" x14ac:dyDescent="0.2">
      <c r="B24" s="6"/>
      <c r="C24" s="6"/>
      <c r="D24" s="6"/>
      <c r="E24" s="6"/>
      <c r="F24" s="6"/>
      <c r="K24" s="562"/>
      <c r="L24" s="563"/>
      <c r="M24" s="563"/>
      <c r="N24" s="564"/>
    </row>
    <row r="25" spans="2:14" ht="19.5" customHeight="1" x14ac:dyDescent="0.2">
      <c r="B25" s="6"/>
      <c r="C25" s="6"/>
      <c r="D25" s="6"/>
      <c r="E25" s="6"/>
      <c r="F25" s="6"/>
      <c r="K25" s="562"/>
      <c r="L25" s="563"/>
      <c r="M25" s="563"/>
      <c r="N25" s="564"/>
    </row>
    <row r="26" spans="2:14" ht="19.5" customHeight="1" x14ac:dyDescent="0.2">
      <c r="B26" s="6"/>
      <c r="C26" s="6"/>
      <c r="D26" s="6"/>
      <c r="E26" s="6"/>
      <c r="F26" s="6"/>
      <c r="K26" s="562"/>
      <c r="L26" s="563"/>
      <c r="M26" s="563"/>
      <c r="N26" s="564"/>
    </row>
    <row r="27" spans="2:14" ht="19.5" customHeight="1" x14ac:dyDescent="0.2">
      <c r="B27" s="6"/>
      <c r="C27" s="6"/>
      <c r="D27" s="6"/>
      <c r="E27" s="6"/>
      <c r="F27" s="6"/>
      <c r="K27" s="565"/>
      <c r="L27" s="566"/>
      <c r="M27" s="566"/>
      <c r="N27" s="567"/>
    </row>
    <row r="28" spans="2:14" ht="19.5" customHeight="1" x14ac:dyDescent="0.2"/>
    <row r="29" spans="2:14" ht="19.5" customHeight="1" x14ac:dyDescent="0.2">
      <c r="H29" s="568" t="s">
        <v>169</v>
      </c>
      <c r="I29" s="569"/>
      <c r="J29" s="569"/>
    </row>
  </sheetData>
  <sheetProtection sheet="1" formatCells="0" formatColumns="0" formatRows="0" insertColumns="0" insertRows="0" insertHyperlinks="0" deleteColumns="0" deleteRows="0" pivotTables="0"/>
  <mergeCells count="22">
    <mergeCell ref="B5:C5"/>
    <mergeCell ref="D5:E5"/>
    <mergeCell ref="F5:G5"/>
    <mergeCell ref="H5:J5"/>
    <mergeCell ref="B6:C6"/>
    <mergeCell ref="D6:E6"/>
    <mergeCell ref="B2:D2"/>
    <mergeCell ref="E2:J2"/>
    <mergeCell ref="B4:C4"/>
    <mergeCell ref="D4:E4"/>
    <mergeCell ref="F4:G4"/>
    <mergeCell ref="H4:J4"/>
    <mergeCell ref="H29:J29"/>
    <mergeCell ref="F6:G6"/>
    <mergeCell ref="B15:C15"/>
    <mergeCell ref="B17:E17"/>
    <mergeCell ref="K17:N17"/>
    <mergeCell ref="K19:N27"/>
    <mergeCell ref="B7:C7"/>
    <mergeCell ref="D7:J7"/>
    <mergeCell ref="B9:J9"/>
    <mergeCell ref="B13:C13"/>
  </mergeCells>
  <phoneticPr fontId="23" type="noConversion"/>
  <conditionalFormatting sqref="D13:H13">
    <cfRule type="cellIs" dxfId="19" priority="1" operator="lessThan">
      <formula>0.55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5E8F-2DE0-408B-9F71-6DAF5E57C987}">
  <sheetPr>
    <tabColor theme="9" tint="-0.499984740745262"/>
    <pageSetUpPr fitToPage="1"/>
  </sheetPr>
  <dimension ref="B2:J30"/>
  <sheetViews>
    <sheetView showGridLines="0" topLeftCell="A10" workbookViewId="0">
      <selection activeCell="F13" sqref="F13:F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839" t="e">
        <f>#REF!</f>
        <v>#REF!</v>
      </c>
      <c r="E5" s="840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B11" s="89"/>
      <c r="C11" s="89">
        <v>2019</v>
      </c>
      <c r="D11" s="89">
        <v>2020</v>
      </c>
      <c r="E11" s="89">
        <v>2021</v>
      </c>
      <c r="F11" s="89">
        <v>2022</v>
      </c>
      <c r="G11" s="89">
        <v>2023</v>
      </c>
      <c r="H11" s="11"/>
      <c r="I11" s="11"/>
      <c r="J11" s="11"/>
    </row>
    <row r="12" spans="2:10" ht="22.5" customHeight="1" x14ac:dyDescent="0.2">
      <c r="B12" s="29" t="s">
        <v>559</v>
      </c>
      <c r="C12" s="332">
        <v>36400.76</v>
      </c>
      <c r="D12" s="332">
        <v>73745.460000000006</v>
      </c>
      <c r="E12" s="332">
        <v>39366.949999999997</v>
      </c>
      <c r="F12" s="29" t="s">
        <v>560</v>
      </c>
      <c r="G12" s="500">
        <v>27419.56</v>
      </c>
      <c r="H12" s="11"/>
      <c r="I12" s="11"/>
      <c r="J12" s="11"/>
    </row>
    <row r="13" spans="2:10" ht="22.5" customHeight="1" x14ac:dyDescent="0.2">
      <c r="B13" s="29" t="s">
        <v>561</v>
      </c>
      <c r="C13" s="332">
        <v>199317.9</v>
      </c>
      <c r="D13" s="332">
        <v>198930.4</v>
      </c>
      <c r="E13" s="332">
        <v>201792.9</v>
      </c>
      <c r="F13" s="332">
        <v>201792.9</v>
      </c>
      <c r="G13" s="332">
        <v>221960.03</v>
      </c>
      <c r="H13" s="11"/>
      <c r="I13" s="11"/>
      <c r="J13" s="11"/>
    </row>
    <row r="14" spans="2:10" ht="22.5" customHeight="1" x14ac:dyDescent="0.2">
      <c r="B14" s="29" t="s">
        <v>314</v>
      </c>
      <c r="C14" s="55">
        <v>0.18</v>
      </c>
      <c r="D14" s="55">
        <v>0.37</v>
      </c>
      <c r="E14" s="39">
        <v>0.19500000000000001</v>
      </c>
      <c r="F14" s="55">
        <v>0.19</v>
      </c>
      <c r="G14" s="55">
        <v>0.12</v>
      </c>
      <c r="H14" s="11"/>
      <c r="I14" s="11"/>
      <c r="J14" s="11"/>
    </row>
    <row r="15" spans="2:10" ht="22.5" customHeight="1" x14ac:dyDescent="0.2">
      <c r="B15" s="217" t="s">
        <v>562</v>
      </c>
      <c r="C15" s="62">
        <v>0.1</v>
      </c>
      <c r="D15" s="62">
        <v>0.1</v>
      </c>
      <c r="E15" s="62">
        <v>0.1</v>
      </c>
      <c r="F15" s="62">
        <v>0.1</v>
      </c>
      <c r="G15" s="62">
        <v>0.1</v>
      </c>
    </row>
    <row r="16" spans="2:10" ht="22.5" customHeight="1" x14ac:dyDescent="0.2">
      <c r="B16" s="270" t="s">
        <v>285</v>
      </c>
      <c r="C16" s="271">
        <f>COUNT(C14/C15)</f>
        <v>1</v>
      </c>
      <c r="D16" s="271">
        <f t="shared" ref="D16:F16" si="0">COUNT(D14/D15)</f>
        <v>1</v>
      </c>
      <c r="E16" s="271">
        <f t="shared" si="0"/>
        <v>1</v>
      </c>
      <c r="F16" s="271">
        <f t="shared" si="0"/>
        <v>1</v>
      </c>
      <c r="G16" s="271">
        <f t="shared" ref="G16" si="1">COUNT(G14/G15)</f>
        <v>1</v>
      </c>
    </row>
    <row r="20" spans="2:10" ht="19.5" customHeight="1" x14ac:dyDescent="0.2">
      <c r="B20" s="572" t="s">
        <v>227</v>
      </c>
      <c r="C20" s="573"/>
      <c r="D20" s="573"/>
      <c r="E20" s="574"/>
      <c r="G20" s="646" t="s">
        <v>228</v>
      </c>
      <c r="H20" s="573"/>
      <c r="I20" s="573"/>
      <c r="J20" s="574"/>
    </row>
    <row r="21" spans="2:10" ht="19.5" customHeight="1" x14ac:dyDescent="0.2">
      <c r="G21" s="7"/>
      <c r="H21" s="7"/>
      <c r="I21" s="7"/>
      <c r="J21" s="7"/>
    </row>
    <row r="22" spans="2:10" ht="19.5" customHeight="1" x14ac:dyDescent="0.2">
      <c r="G22" s="559"/>
      <c r="H22" s="560"/>
      <c r="I22" s="560"/>
      <c r="J22" s="561"/>
    </row>
    <row r="23" spans="2:10" ht="19.5" customHeight="1" x14ac:dyDescent="0.2">
      <c r="G23" s="562"/>
      <c r="H23" s="563"/>
      <c r="I23" s="563"/>
      <c r="J23" s="564"/>
    </row>
    <row r="24" spans="2:10" ht="19.5" customHeight="1" x14ac:dyDescent="0.2">
      <c r="G24" s="562"/>
      <c r="H24" s="563"/>
      <c r="I24" s="563"/>
      <c r="J24" s="564"/>
    </row>
    <row r="25" spans="2:10" ht="19.5" customHeight="1" x14ac:dyDescent="0.2">
      <c r="G25" s="562"/>
      <c r="H25" s="563"/>
      <c r="I25" s="563"/>
      <c r="J25" s="564"/>
    </row>
    <row r="26" spans="2:10" ht="19.5" customHeight="1" x14ac:dyDescent="0.2">
      <c r="G26" s="562"/>
      <c r="H26" s="563"/>
      <c r="I26" s="563"/>
      <c r="J26" s="564"/>
    </row>
    <row r="27" spans="2:10" ht="19.5" customHeight="1" x14ac:dyDescent="0.2">
      <c r="G27" s="562"/>
      <c r="H27" s="563"/>
      <c r="I27" s="563"/>
      <c r="J27" s="564"/>
    </row>
    <row r="28" spans="2:10" ht="19.5" customHeight="1" x14ac:dyDescent="0.2">
      <c r="G28" s="562"/>
      <c r="H28" s="563"/>
      <c r="I28" s="563"/>
      <c r="J28" s="564"/>
    </row>
    <row r="29" spans="2:10" ht="19.5" customHeight="1" x14ac:dyDescent="0.2">
      <c r="G29" s="562"/>
      <c r="H29" s="563"/>
      <c r="I29" s="563"/>
      <c r="J29" s="564"/>
    </row>
    <row r="30" spans="2:10" ht="19.5" customHeight="1" x14ac:dyDescent="0.2">
      <c r="G30" s="565"/>
      <c r="H30" s="566"/>
      <c r="I30" s="566"/>
      <c r="J30" s="567"/>
    </row>
  </sheetData>
  <sheetProtection sheet="1" formatCells="0" formatColumns="0" formatRows="0" insertColumns="0" insertRows="0" insertHyperlinks="0" deleteColumns="0" deleteRows="0" pivotTables="0"/>
  <mergeCells count="19">
    <mergeCell ref="B9:J9"/>
    <mergeCell ref="G20:J20"/>
    <mergeCell ref="G22:J30"/>
    <mergeCell ref="B7:C7"/>
    <mergeCell ref="D7:J7"/>
    <mergeCell ref="B20:E20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D8D8-5C98-4FA5-8A4F-178456AE7D67}">
  <sheetPr>
    <tabColor theme="9" tint="-0.499984740745262"/>
    <pageSetUpPr fitToPage="1"/>
  </sheetPr>
  <dimension ref="B2:J27"/>
  <sheetViews>
    <sheetView showGridLines="0" topLeftCell="A14" workbookViewId="0">
      <selection activeCell="F14" sqref="F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745" t="e">
        <f>#REF!</f>
        <v>#REF!</v>
      </c>
      <c r="E4" s="658"/>
      <c r="F4" s="572" t="s">
        <v>209</v>
      </c>
      <c r="G4" s="574"/>
      <c r="H4" s="745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841" t="e">
        <f>#REF!</f>
        <v>#REF!</v>
      </c>
      <c r="E5" s="840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745" t="s">
        <v>214</v>
      </c>
      <c r="E6" s="658"/>
      <c r="F6" s="572" t="s">
        <v>236</v>
      </c>
      <c r="G6" s="574"/>
      <c r="H6" s="10" t="e">
        <f>#REF!</f>
        <v>#REF!</v>
      </c>
      <c r="I6" s="138"/>
      <c r="J6" s="342"/>
    </row>
    <row r="7" spans="2:10" ht="22.5" customHeight="1" x14ac:dyDescent="0.2">
      <c r="B7" s="572" t="s">
        <v>216</v>
      </c>
      <c r="C7" s="574"/>
      <c r="D7" s="745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thickBot="1" x14ac:dyDescent="0.25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thickBot="1" x14ac:dyDescent="0.25">
      <c r="B11" s="195"/>
      <c r="C11" s="164">
        <v>2019</v>
      </c>
      <c r="D11" s="164">
        <v>2020</v>
      </c>
      <c r="E11" s="164">
        <v>2021</v>
      </c>
      <c r="F11" s="164">
        <v>2022</v>
      </c>
      <c r="G11" s="164">
        <v>2023</v>
      </c>
      <c r="H11" s="11"/>
      <c r="I11" s="11"/>
      <c r="J11" s="11"/>
    </row>
    <row r="12" spans="2:10" ht="22.5" customHeight="1" thickBot="1" x14ac:dyDescent="0.25">
      <c r="B12" s="165" t="s">
        <v>559</v>
      </c>
      <c r="C12" s="343">
        <v>45989</v>
      </c>
      <c r="D12" s="343">
        <v>45989</v>
      </c>
      <c r="E12" s="343">
        <v>45989</v>
      </c>
      <c r="F12" s="343">
        <v>45989</v>
      </c>
      <c r="G12" s="343">
        <v>45989</v>
      </c>
      <c r="H12" s="11"/>
      <c r="I12" s="11"/>
      <c r="J12" s="11"/>
    </row>
    <row r="13" spans="2:10" ht="22.5" customHeight="1" x14ac:dyDescent="0.2">
      <c r="B13" s="196" t="s">
        <v>563</v>
      </c>
      <c r="C13" s="501">
        <v>1</v>
      </c>
      <c r="D13" s="344">
        <v>0.95550000000000002</v>
      </c>
      <c r="E13" s="501">
        <v>1</v>
      </c>
      <c r="F13" s="501">
        <v>1</v>
      </c>
      <c r="G13" s="501">
        <v>1</v>
      </c>
      <c r="H13" s="11"/>
      <c r="I13" s="11"/>
      <c r="J13" s="11"/>
    </row>
    <row r="14" spans="2:10" ht="23.25" customHeight="1" x14ac:dyDescent="0.2">
      <c r="B14" s="345" t="s">
        <v>501</v>
      </c>
      <c r="C14" s="346">
        <v>1</v>
      </c>
      <c r="D14" s="346">
        <v>1</v>
      </c>
      <c r="E14" s="346">
        <v>1</v>
      </c>
      <c r="F14" s="346">
        <v>1</v>
      </c>
      <c r="G14" s="346">
        <v>1</v>
      </c>
    </row>
    <row r="17" spans="2:10" ht="19.5" customHeight="1" x14ac:dyDescent="0.2">
      <c r="B17" s="572" t="s">
        <v>227</v>
      </c>
      <c r="C17" s="573"/>
      <c r="D17" s="573"/>
      <c r="E17" s="574"/>
      <c r="G17" s="646" t="s">
        <v>228</v>
      </c>
      <c r="H17" s="573"/>
      <c r="I17" s="573"/>
      <c r="J17" s="574"/>
    </row>
    <row r="18" spans="2:10" ht="19.5" customHeight="1" x14ac:dyDescent="0.2">
      <c r="G18" s="7"/>
      <c r="H18" s="7"/>
      <c r="I18" s="7"/>
      <c r="J18" s="7"/>
    </row>
    <row r="19" spans="2:10" ht="19.5" customHeight="1" x14ac:dyDescent="0.2">
      <c r="G19" s="610"/>
      <c r="H19" s="560"/>
      <c r="I19" s="560"/>
      <c r="J19" s="561"/>
    </row>
    <row r="20" spans="2:10" ht="19.5" customHeight="1" x14ac:dyDescent="0.2">
      <c r="G20" s="562"/>
      <c r="H20" s="563"/>
      <c r="I20" s="563"/>
      <c r="J20" s="564"/>
    </row>
    <row r="21" spans="2:10" ht="19.5" customHeight="1" x14ac:dyDescent="0.2">
      <c r="G21" s="562"/>
      <c r="H21" s="563"/>
      <c r="I21" s="563"/>
      <c r="J21" s="564"/>
    </row>
    <row r="22" spans="2:10" ht="19.5" customHeight="1" x14ac:dyDescent="0.2">
      <c r="G22" s="562"/>
      <c r="H22" s="563"/>
      <c r="I22" s="563"/>
      <c r="J22" s="564"/>
    </row>
    <row r="23" spans="2:10" ht="19.5" customHeight="1" x14ac:dyDescent="0.2">
      <c r="G23" s="562"/>
      <c r="H23" s="563"/>
      <c r="I23" s="563"/>
      <c r="J23" s="564"/>
    </row>
    <row r="24" spans="2:10" ht="19.5" customHeight="1" x14ac:dyDescent="0.2">
      <c r="G24" s="562"/>
      <c r="H24" s="563"/>
      <c r="I24" s="563"/>
      <c r="J24" s="564"/>
    </row>
    <row r="25" spans="2:10" ht="19.5" customHeight="1" x14ac:dyDescent="0.2">
      <c r="G25" s="562"/>
      <c r="H25" s="563"/>
      <c r="I25" s="563"/>
      <c r="J25" s="564"/>
    </row>
    <row r="26" spans="2:10" ht="19.5" customHeight="1" x14ac:dyDescent="0.2">
      <c r="G26" s="562"/>
      <c r="H26" s="563"/>
      <c r="I26" s="563"/>
      <c r="J26" s="564"/>
    </row>
    <row r="27" spans="2:10" ht="19.5" customHeight="1" x14ac:dyDescent="0.2">
      <c r="G27" s="565"/>
      <c r="H27" s="566"/>
      <c r="I27" s="566"/>
      <c r="J27" s="567"/>
    </row>
  </sheetData>
  <sheetProtection sheet="1" formatCells="0" formatColumns="0" formatRows="0" insertColumns="0" insertRows="0" insertHyperlinks="0" deleteColumns="0" deleteRows="0" pivotTables="0"/>
  <mergeCells count="19">
    <mergeCell ref="G19:J27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B9:J9"/>
    <mergeCell ref="B17:E17"/>
    <mergeCell ref="G17:J17"/>
    <mergeCell ref="B2:D2"/>
    <mergeCell ref="E2:J2"/>
    <mergeCell ref="B4:C4"/>
    <mergeCell ref="D4:E4"/>
    <mergeCell ref="F4:G4"/>
    <mergeCell ref="H4:J4"/>
  </mergeCells>
  <pageMargins left="0.7" right="0.7" top="0.75" bottom="0.75" header="0" footer="0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DF17-2F55-4F58-8EA5-1DDF9F54291A}">
  <sheetPr>
    <tabColor theme="9" tint="-0.499984740745262"/>
    <pageSetUpPr fitToPage="1"/>
  </sheetPr>
  <dimension ref="B2:N38"/>
  <sheetViews>
    <sheetView showGridLines="0" topLeftCell="A18" workbookViewId="0">
      <selection activeCell="F20" sqref="F20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/>
    <row r="11" spans="2:10" ht="22.5" customHeight="1" thickBot="1" x14ac:dyDescent="0.25">
      <c r="B11" s="14"/>
      <c r="C11" s="14"/>
      <c r="D11" s="89" t="s">
        <v>218</v>
      </c>
      <c r="E11" s="89" t="s">
        <v>219</v>
      </c>
      <c r="F11" s="89" t="s">
        <v>220</v>
      </c>
      <c r="G11" s="89" t="s">
        <v>221</v>
      </c>
      <c r="H11" s="89" t="s">
        <v>222</v>
      </c>
      <c r="I11" s="89" t="s">
        <v>223</v>
      </c>
    </row>
    <row r="12" spans="2:10" ht="41.25" customHeight="1" thickBot="1" x14ac:dyDescent="0.25">
      <c r="B12" s="667" t="s">
        <v>238</v>
      </c>
      <c r="C12" s="667"/>
      <c r="D12" s="13">
        <v>3.82</v>
      </c>
      <c r="E12" s="127" t="s">
        <v>231</v>
      </c>
      <c r="F12" s="127">
        <v>4.38</v>
      </c>
      <c r="G12" s="127">
        <v>3.8</v>
      </c>
      <c r="H12" s="127">
        <v>3.53</v>
      </c>
      <c r="I12" s="396" t="s">
        <v>254</v>
      </c>
      <c r="J12" s="121"/>
    </row>
    <row r="13" spans="2:10" ht="41.25" customHeight="1" thickBot="1" x14ac:dyDescent="0.25">
      <c r="B13" s="667" t="s">
        <v>337</v>
      </c>
      <c r="C13" s="667"/>
      <c r="D13" s="8" t="s">
        <v>231</v>
      </c>
      <c r="E13" s="129" t="s">
        <v>231</v>
      </c>
      <c r="F13" s="131">
        <v>2.8</v>
      </c>
      <c r="G13" s="131">
        <v>2</v>
      </c>
      <c r="H13" s="272">
        <v>3.43</v>
      </c>
      <c r="I13" s="166" t="s">
        <v>254</v>
      </c>
      <c r="J13" s="121"/>
    </row>
    <row r="14" spans="2:10" ht="41.25" customHeight="1" thickBot="1" x14ac:dyDescent="0.25">
      <c r="B14" s="667" t="s">
        <v>287</v>
      </c>
      <c r="C14" s="667"/>
      <c r="D14" s="8" t="s">
        <v>231</v>
      </c>
      <c r="E14" s="129">
        <v>3.2</v>
      </c>
      <c r="F14" s="129">
        <v>4.67</v>
      </c>
      <c r="G14" s="131">
        <v>2.5</v>
      </c>
      <c r="H14" s="272">
        <v>4.17</v>
      </c>
      <c r="I14" s="166" t="s">
        <v>254</v>
      </c>
      <c r="J14" s="121"/>
    </row>
    <row r="15" spans="2:10" ht="41.25" customHeight="1" thickBot="1" x14ac:dyDescent="0.25">
      <c r="B15" s="667" t="s">
        <v>241</v>
      </c>
      <c r="C15" s="667"/>
      <c r="D15" s="8">
        <v>3.44</v>
      </c>
      <c r="E15" s="129">
        <v>3</v>
      </c>
      <c r="F15" s="129">
        <v>3.77</v>
      </c>
      <c r="G15" s="129">
        <v>3.5</v>
      </c>
      <c r="H15" s="129">
        <v>4</v>
      </c>
      <c r="I15" s="166" t="s">
        <v>254</v>
      </c>
      <c r="J15" s="121"/>
    </row>
    <row r="16" spans="2:10" ht="41.25" customHeight="1" thickBot="1" x14ac:dyDescent="0.25">
      <c r="B16" s="667" t="s">
        <v>330</v>
      </c>
      <c r="C16" s="667"/>
      <c r="D16" s="8" t="s">
        <v>231</v>
      </c>
      <c r="E16" s="129" t="s">
        <v>231</v>
      </c>
      <c r="F16" s="129" t="s">
        <v>231</v>
      </c>
      <c r="G16" s="129">
        <v>4</v>
      </c>
      <c r="H16" s="129">
        <v>3.89</v>
      </c>
      <c r="I16" s="166" t="s">
        <v>254</v>
      </c>
      <c r="J16" s="121"/>
    </row>
    <row r="17" spans="2:14" ht="41.25" customHeight="1" thickBot="1" x14ac:dyDescent="0.25">
      <c r="B17" s="667" t="s">
        <v>331</v>
      </c>
      <c r="C17" s="667"/>
      <c r="D17" s="8">
        <v>3.25</v>
      </c>
      <c r="E17" s="129">
        <v>3.57</v>
      </c>
      <c r="F17" s="129" t="s">
        <v>231</v>
      </c>
      <c r="G17" s="129">
        <v>3.75</v>
      </c>
      <c r="H17" s="129">
        <v>3.25</v>
      </c>
      <c r="I17" s="386" t="s">
        <v>254</v>
      </c>
      <c r="J17" s="121"/>
      <c r="K17" s="21"/>
      <c r="L17" s="26"/>
      <c r="M17" s="26"/>
    </row>
    <row r="18" spans="2:14" ht="41.25" customHeight="1" thickBot="1" x14ac:dyDescent="0.25">
      <c r="B18" s="667" t="s">
        <v>244</v>
      </c>
      <c r="C18" s="667"/>
      <c r="D18" s="8">
        <v>3.4</v>
      </c>
      <c r="E18" s="129" t="s">
        <v>231</v>
      </c>
      <c r="F18" s="129" t="s">
        <v>231</v>
      </c>
      <c r="G18" s="129" t="s">
        <v>231</v>
      </c>
      <c r="H18" s="129">
        <v>3.71</v>
      </c>
      <c r="I18" s="166" t="s">
        <v>254</v>
      </c>
      <c r="J18" s="121"/>
      <c r="K18" s="21"/>
      <c r="L18" s="26"/>
      <c r="M18" s="26"/>
    </row>
    <row r="19" spans="2:14" ht="41.25" customHeight="1" thickBot="1" x14ac:dyDescent="0.25">
      <c r="B19" s="730" t="s">
        <v>344</v>
      </c>
      <c r="C19" s="735"/>
      <c r="D19" s="8" t="s">
        <v>231</v>
      </c>
      <c r="E19" s="129" t="s">
        <v>231</v>
      </c>
      <c r="F19" s="129" t="s">
        <v>231</v>
      </c>
      <c r="G19" s="129" t="s">
        <v>231</v>
      </c>
      <c r="H19" s="129">
        <v>4.29</v>
      </c>
      <c r="I19" s="166" t="s">
        <v>254</v>
      </c>
      <c r="J19" s="121"/>
      <c r="K19" s="21"/>
      <c r="L19" s="26"/>
      <c r="M19" s="26"/>
    </row>
    <row r="20" spans="2:14" ht="41.25" customHeight="1" thickBot="1" x14ac:dyDescent="0.25">
      <c r="B20" s="667" t="s">
        <v>246</v>
      </c>
      <c r="C20" s="667"/>
      <c r="D20" s="8">
        <v>3.4</v>
      </c>
      <c r="E20" s="129">
        <v>3.79</v>
      </c>
      <c r="F20" s="129">
        <v>3.27</v>
      </c>
      <c r="G20" s="129">
        <v>2.4</v>
      </c>
      <c r="H20" s="129">
        <v>3.9</v>
      </c>
      <c r="I20" s="166" t="s">
        <v>254</v>
      </c>
      <c r="J20" s="27"/>
    </row>
    <row r="21" spans="2:14" ht="41.25" customHeight="1" thickBot="1" x14ac:dyDescent="0.25">
      <c r="B21" s="667" t="s">
        <v>247</v>
      </c>
      <c r="C21" s="667"/>
      <c r="D21" s="8">
        <v>3.36</v>
      </c>
      <c r="E21" s="129">
        <v>3.89</v>
      </c>
      <c r="F21" s="129">
        <v>3.67</v>
      </c>
      <c r="G21" s="129">
        <v>3.5</v>
      </c>
      <c r="H21" s="129">
        <v>3.64</v>
      </c>
      <c r="I21" s="166" t="s">
        <v>254</v>
      </c>
      <c r="J21" s="28"/>
      <c r="K21" s="53"/>
      <c r="L21" s="53"/>
      <c r="M21" s="53"/>
      <c r="N21" s="53"/>
    </row>
    <row r="22" spans="2:14" ht="41.25" customHeight="1" thickBot="1" x14ac:dyDescent="0.25">
      <c r="B22" s="731" t="s">
        <v>248</v>
      </c>
      <c r="C22" s="731"/>
      <c r="D22" s="8">
        <v>3.48</v>
      </c>
      <c r="E22" s="129">
        <v>3.37</v>
      </c>
      <c r="F22" s="129">
        <v>3.58</v>
      </c>
      <c r="G22" s="129">
        <v>4.25</v>
      </c>
      <c r="H22" s="129">
        <v>3.89</v>
      </c>
      <c r="I22" s="166" t="s">
        <v>254</v>
      </c>
      <c r="J22" s="28"/>
      <c r="K22" s="53"/>
      <c r="L22" s="53"/>
      <c r="M22" s="53"/>
      <c r="N22" s="53"/>
    </row>
    <row r="23" spans="2:14" ht="22.5" customHeight="1" thickBot="1" x14ac:dyDescent="0.25">
      <c r="B23" s="785" t="e">
        <f>D5</f>
        <v>#REF!</v>
      </c>
      <c r="C23" s="785"/>
      <c r="D23" s="15">
        <f t="shared" ref="D23:H23" si="0">COUNTIF(D12:D22,"&gt;=3,5")</f>
        <v>1</v>
      </c>
      <c r="E23" s="15">
        <f t="shared" si="0"/>
        <v>3</v>
      </c>
      <c r="F23" s="15">
        <f t="shared" si="0"/>
        <v>5</v>
      </c>
      <c r="G23" s="15">
        <f t="shared" si="0"/>
        <v>6</v>
      </c>
      <c r="H23" s="15">
        <f t="shared" si="0"/>
        <v>9</v>
      </c>
      <c r="I23" s="166" t="s">
        <v>254</v>
      </c>
    </row>
    <row r="24" spans="2:14" ht="22.5" customHeight="1" thickBot="1" x14ac:dyDescent="0.25">
      <c r="B24" s="644" t="s">
        <v>268</v>
      </c>
      <c r="C24" s="644"/>
      <c r="D24" s="15">
        <f t="shared" ref="D24:H24" si="1">COUNT(D12:D22)</f>
        <v>7</v>
      </c>
      <c r="E24" s="15">
        <f t="shared" si="1"/>
        <v>6</v>
      </c>
      <c r="F24" s="15">
        <f t="shared" si="1"/>
        <v>7</v>
      </c>
      <c r="G24" s="15">
        <f t="shared" si="1"/>
        <v>9</v>
      </c>
      <c r="H24" s="15">
        <f t="shared" si="1"/>
        <v>11</v>
      </c>
      <c r="I24" s="166" t="s">
        <v>254</v>
      </c>
    </row>
    <row r="25" spans="2:14" ht="22.5" customHeight="1" thickBot="1" x14ac:dyDescent="0.25">
      <c r="B25" s="43" t="s">
        <v>225</v>
      </c>
      <c r="C25" s="10" t="e">
        <f>D5</f>
        <v>#REF!</v>
      </c>
      <c r="D25" s="72">
        <v>3.5</v>
      </c>
      <c r="E25" s="72">
        <v>3.5</v>
      </c>
      <c r="F25" s="72">
        <v>3.5</v>
      </c>
      <c r="G25" s="72">
        <v>3.5</v>
      </c>
      <c r="H25" s="72">
        <v>3.5</v>
      </c>
      <c r="I25" s="166" t="s">
        <v>254</v>
      </c>
    </row>
    <row r="26" spans="2:14" ht="22.5" customHeight="1" x14ac:dyDescent="0.2">
      <c r="B26" s="640" t="s">
        <v>226</v>
      </c>
      <c r="C26" s="706"/>
      <c r="D26" s="46">
        <f t="shared" ref="D26:I26" si="2">D23/D24</f>
        <v>0.14285714285714285</v>
      </c>
      <c r="E26" s="46">
        <f t="shared" si="2"/>
        <v>0.5</v>
      </c>
      <c r="F26" s="46">
        <f t="shared" si="2"/>
        <v>0.7142857142857143</v>
      </c>
      <c r="G26" s="46">
        <f t="shared" si="2"/>
        <v>0.66666666666666663</v>
      </c>
      <c r="H26" s="46">
        <f t="shared" si="2"/>
        <v>0.81818181818181823</v>
      </c>
      <c r="I26" s="46" t="e">
        <f t="shared" si="2"/>
        <v>#VALUE!</v>
      </c>
    </row>
    <row r="27" spans="2:14" ht="22.5" customHeight="1" x14ac:dyDescent="0.25">
      <c r="B27" s="5"/>
      <c r="C27" s="5"/>
      <c r="D27" s="4"/>
      <c r="E27" s="4"/>
      <c r="F27" s="4"/>
      <c r="G27" s="4"/>
      <c r="H27" s="4"/>
      <c r="I27" s="4"/>
      <c r="J27" s="4"/>
    </row>
    <row r="28" spans="2:14" ht="22.5" customHeight="1" x14ac:dyDescent="0.2">
      <c r="B28" s="572" t="s">
        <v>227</v>
      </c>
      <c r="C28" s="573"/>
      <c r="D28" s="573"/>
      <c r="E28" s="574"/>
      <c r="F28" s="6"/>
      <c r="K28" s="572" t="s">
        <v>228</v>
      </c>
      <c r="L28" s="573"/>
      <c r="M28" s="573"/>
      <c r="N28" s="574"/>
    </row>
    <row r="29" spans="2:14" ht="22.5" customHeight="1" x14ac:dyDescent="0.2">
      <c r="B29" s="6"/>
      <c r="C29" s="6"/>
      <c r="D29" s="6"/>
      <c r="E29" s="6"/>
      <c r="F29" s="6"/>
      <c r="K29" s="7"/>
      <c r="L29" s="7"/>
      <c r="M29" s="7"/>
      <c r="N29" s="7"/>
    </row>
    <row r="30" spans="2:14" ht="6" customHeight="1" x14ac:dyDescent="0.2">
      <c r="B30" s="6"/>
      <c r="C30" s="6"/>
      <c r="D30" s="6"/>
      <c r="E30" s="6"/>
      <c r="F30" s="6"/>
      <c r="K30" s="610" t="s">
        <v>564</v>
      </c>
      <c r="L30" s="560"/>
      <c r="M30" s="560"/>
      <c r="N30" s="561"/>
    </row>
    <row r="31" spans="2:14" ht="19.5" customHeight="1" x14ac:dyDescent="0.2">
      <c r="B31" s="6"/>
      <c r="C31" s="6"/>
      <c r="D31" s="6"/>
      <c r="E31" s="6"/>
      <c r="F31" s="6"/>
      <c r="K31" s="562"/>
      <c r="L31" s="563"/>
      <c r="M31" s="563"/>
      <c r="N31" s="564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11:14" ht="19.5" customHeight="1" x14ac:dyDescent="0.2">
      <c r="K33" s="562"/>
      <c r="L33" s="563"/>
      <c r="M33" s="563"/>
      <c r="N33" s="564"/>
    </row>
    <row r="34" spans="11:14" ht="19.5" customHeight="1" x14ac:dyDescent="0.2">
      <c r="K34" s="562"/>
      <c r="L34" s="563"/>
      <c r="M34" s="563"/>
      <c r="N34" s="564"/>
    </row>
    <row r="35" spans="11:14" ht="19.5" customHeight="1" x14ac:dyDescent="0.2">
      <c r="K35" s="562"/>
      <c r="L35" s="563"/>
      <c r="M35" s="563"/>
      <c r="N35" s="564"/>
    </row>
    <row r="36" spans="11:14" ht="19.5" customHeight="1" x14ac:dyDescent="0.2">
      <c r="K36" s="562"/>
      <c r="L36" s="563"/>
      <c r="M36" s="563"/>
      <c r="N36" s="564"/>
    </row>
    <row r="37" spans="11:14" ht="19.5" customHeight="1" x14ac:dyDescent="0.2">
      <c r="K37" s="562"/>
      <c r="L37" s="563"/>
      <c r="M37" s="563"/>
      <c r="N37" s="564"/>
    </row>
    <row r="38" spans="11:14" ht="19.5" customHeight="1" x14ac:dyDescent="0.2">
      <c r="K38" s="565"/>
      <c r="L38" s="566"/>
      <c r="M38" s="566"/>
      <c r="N38" s="567"/>
    </row>
  </sheetData>
  <sheetProtection sheet="1" formatCells="0" formatColumns="0" formatRows="0" insertColumns="0" insertRows="0" insertHyperlinks="0" deleteColumns="0" deleteRows="0" pivotTables="0"/>
  <mergeCells count="33">
    <mergeCell ref="B9:J9"/>
    <mergeCell ref="B12:C12"/>
    <mergeCell ref="B13:C13"/>
    <mergeCell ref="B23:C23"/>
    <mergeCell ref="B15:C15"/>
    <mergeCell ref="K28:N28"/>
    <mergeCell ref="K30:N38"/>
    <mergeCell ref="B14:C14"/>
    <mergeCell ref="B26:C26"/>
    <mergeCell ref="B28:E28"/>
    <mergeCell ref="B19:C19"/>
    <mergeCell ref="B22:C22"/>
    <mergeCell ref="B24:C24"/>
    <mergeCell ref="B16:C16"/>
    <mergeCell ref="B17:C17"/>
    <mergeCell ref="B18:C18"/>
    <mergeCell ref="B20:C20"/>
    <mergeCell ref="B21:C21"/>
    <mergeCell ref="B2:D2"/>
    <mergeCell ref="E2:J2"/>
    <mergeCell ref="B4:C4"/>
    <mergeCell ref="D4:E4"/>
    <mergeCell ref="F4:G4"/>
    <mergeCell ref="H4:J4"/>
    <mergeCell ref="B7:C7"/>
    <mergeCell ref="D7:J7"/>
    <mergeCell ref="B5:C5"/>
    <mergeCell ref="D5:E5"/>
    <mergeCell ref="F5:G5"/>
    <mergeCell ref="H5:J5"/>
    <mergeCell ref="F6:G6"/>
    <mergeCell ref="D6:E6"/>
    <mergeCell ref="B6:C6"/>
  </mergeCells>
  <conditionalFormatting sqref="D12:H22">
    <cfRule type="cellIs" dxfId="18" priority="2" operator="between">
      <formula>0</formula>
      <formula>3.15</formula>
    </cfRule>
  </conditionalFormatting>
  <conditionalFormatting sqref="H12:H22">
    <cfRule type="cellIs" dxfId="17" priority="1" operator="lessThan">
      <formula>3.5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F2D86-61E5-43D3-ACA2-77245E1E016C}">
  <sheetPr>
    <tabColor theme="9" tint="-0.499984740745262"/>
    <pageSetUpPr fitToPage="1"/>
  </sheetPr>
  <dimension ref="B2:N28"/>
  <sheetViews>
    <sheetView showGridLines="0" workbookViewId="0">
      <selection activeCell="I12" sqref="I12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9" width="12.5703125" customWidth="1"/>
    <col min="10" max="10" width="17.42578125" bestFit="1" customWidth="1"/>
    <col min="11" max="13" width="8.85546875" customWidth="1"/>
    <col min="14" max="23" width="7.5703125" customWidth="1"/>
  </cols>
  <sheetData>
    <row r="2" spans="2:14" ht="55.5" customHeight="1" x14ac:dyDescent="0.25">
      <c r="B2" s="543"/>
      <c r="C2" s="544"/>
      <c r="D2" s="545"/>
      <c r="E2" s="546" t="s">
        <v>207</v>
      </c>
      <c r="F2" s="544"/>
      <c r="G2" s="544"/>
      <c r="H2" s="544"/>
      <c r="I2" s="544"/>
      <c r="J2" s="545"/>
      <c r="K2" s="1"/>
      <c r="L2" s="1"/>
      <c r="M2" s="1"/>
    </row>
    <row r="3" spans="2:14" ht="22.5" customHeight="1" x14ac:dyDescent="0.25">
      <c r="B3" s="281"/>
      <c r="C3" s="281"/>
      <c r="D3" s="282"/>
      <c r="E3" s="282"/>
      <c r="F3" s="282"/>
      <c r="G3" s="282"/>
      <c r="H3" s="282"/>
      <c r="I3" s="282"/>
      <c r="J3" s="279"/>
    </row>
    <row r="4" spans="2:14" ht="42.75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48"/>
      <c r="H4" s="575" t="e">
        <f>#REF!</f>
        <v>#REF!</v>
      </c>
      <c r="I4" s="576"/>
      <c r="J4" s="577"/>
    </row>
    <row r="5" spans="2:14" ht="22.5" customHeight="1" x14ac:dyDescent="0.25">
      <c r="B5" s="547" t="s">
        <v>229</v>
      </c>
      <c r="C5" s="548"/>
      <c r="D5" s="578" t="e">
        <f>#REF!</f>
        <v>#REF!</v>
      </c>
      <c r="E5" s="551"/>
      <c r="F5" s="552" t="s">
        <v>211</v>
      </c>
      <c r="G5" s="548"/>
      <c r="H5" s="575" t="s">
        <v>212</v>
      </c>
      <c r="I5" s="576"/>
      <c r="J5" s="577"/>
    </row>
    <row r="6" spans="2:14" ht="22.5" customHeight="1" x14ac:dyDescent="0.25">
      <c r="B6" s="547" t="s">
        <v>213</v>
      </c>
      <c r="C6" s="548"/>
      <c r="D6" s="549" t="s">
        <v>214</v>
      </c>
      <c r="E6" s="545"/>
      <c r="F6" s="547" t="s">
        <v>215</v>
      </c>
      <c r="G6" s="548"/>
      <c r="H6" s="579" t="e">
        <f>#REF!</f>
        <v>#REF!</v>
      </c>
      <c r="I6" s="580"/>
      <c r="J6" s="551"/>
    </row>
    <row r="7" spans="2:14" ht="22.5" customHeight="1" x14ac:dyDescent="0.25">
      <c r="B7" s="547" t="s">
        <v>216</v>
      </c>
      <c r="C7" s="548"/>
      <c r="D7" s="549" t="e">
        <f>#REF!</f>
        <v>#REF!</v>
      </c>
      <c r="E7" s="544"/>
      <c r="F7" s="544"/>
      <c r="G7" s="544"/>
      <c r="H7" s="544"/>
      <c r="I7" s="544"/>
      <c r="J7" s="545"/>
      <c r="K7" s="2"/>
    </row>
    <row r="8" spans="2:14" ht="7.5" customHeight="1" x14ac:dyDescent="0.25">
      <c r="B8" s="279"/>
      <c r="C8" s="279"/>
      <c r="D8" s="279"/>
      <c r="E8" s="279"/>
      <c r="F8" s="279"/>
      <c r="G8" s="279"/>
      <c r="H8" s="279"/>
      <c r="I8" s="279"/>
      <c r="J8" s="279"/>
    </row>
    <row r="9" spans="2:14" ht="22.5" customHeight="1" x14ac:dyDescent="0.25">
      <c r="B9" s="547" t="s">
        <v>217</v>
      </c>
      <c r="C9" s="556"/>
      <c r="D9" s="556"/>
      <c r="E9" s="556"/>
      <c r="F9" s="556"/>
      <c r="G9" s="556"/>
      <c r="H9" s="556"/>
      <c r="I9" s="556"/>
      <c r="J9" s="548"/>
      <c r="K9" s="3"/>
    </row>
    <row r="10" spans="2:14" ht="22.5" customHeight="1" x14ac:dyDescent="0.25">
      <c r="B10" s="286"/>
      <c r="C10" s="286"/>
      <c r="D10" s="286"/>
      <c r="E10" s="286"/>
      <c r="F10" s="286"/>
      <c r="G10" s="286"/>
      <c r="H10" s="286"/>
      <c r="I10" s="286"/>
      <c r="J10" s="286"/>
    </row>
    <row r="11" spans="2:14" ht="22.5" customHeight="1" x14ac:dyDescent="0.25">
      <c r="B11" s="286"/>
      <c r="C11" s="286"/>
      <c r="D11" s="287" t="s">
        <v>218</v>
      </c>
      <c r="E11" s="287" t="s">
        <v>219</v>
      </c>
      <c r="F11" s="287" t="s">
        <v>220</v>
      </c>
      <c r="G11" s="287" t="s">
        <v>221</v>
      </c>
      <c r="H11" s="287" t="s">
        <v>222</v>
      </c>
      <c r="I11" s="287" t="s">
        <v>223</v>
      </c>
      <c r="J11" s="279"/>
    </row>
    <row r="12" spans="2:14" ht="23.25" customHeight="1" x14ac:dyDescent="0.25">
      <c r="B12" s="570" t="s">
        <v>224</v>
      </c>
      <c r="C12" s="545"/>
      <c r="D12" s="289" t="s">
        <v>231</v>
      </c>
      <c r="E12" s="288" t="s">
        <v>231</v>
      </c>
      <c r="F12" s="289">
        <v>0.96299999999999997</v>
      </c>
      <c r="G12" s="290">
        <v>1</v>
      </c>
      <c r="H12" s="290">
        <v>1</v>
      </c>
      <c r="I12" s="290">
        <v>1</v>
      </c>
      <c r="J12" s="279"/>
    </row>
    <row r="13" spans="2:14" ht="22.5" customHeight="1" x14ac:dyDescent="0.25">
      <c r="B13" s="571" t="s">
        <v>225</v>
      </c>
      <c r="C13" s="545"/>
      <c r="D13" s="288" t="e">
        <f>#REF!</f>
        <v>#REF!</v>
      </c>
      <c r="E13" s="288" t="e">
        <f>#REF!</f>
        <v>#REF!</v>
      </c>
      <c r="F13" s="288" t="e">
        <f>#REF!</f>
        <v>#REF!</v>
      </c>
      <c r="G13" s="288" t="e">
        <f>#REF!</f>
        <v>#REF!</v>
      </c>
      <c r="H13" s="288" t="e">
        <f>#REF!</f>
        <v>#REF!</v>
      </c>
      <c r="I13" s="288" t="e">
        <f>#REF!</f>
        <v>#REF!</v>
      </c>
      <c r="J13" s="279"/>
    </row>
    <row r="14" spans="2:14" ht="22.5" customHeight="1" x14ac:dyDescent="0.25">
      <c r="B14" s="571" t="s">
        <v>226</v>
      </c>
      <c r="C14" s="545"/>
      <c r="D14" s="289" t="s">
        <v>231</v>
      </c>
      <c r="E14" s="289" t="s">
        <v>231</v>
      </c>
      <c r="F14" s="288" t="e">
        <f t="shared" ref="F14:I14" si="0">F12/F13</f>
        <v>#REF!</v>
      </c>
      <c r="G14" s="290" t="e">
        <f t="shared" si="0"/>
        <v>#REF!</v>
      </c>
      <c r="H14" s="290" t="e">
        <f t="shared" si="0"/>
        <v>#REF!</v>
      </c>
      <c r="I14" s="290" t="e">
        <f t="shared" si="0"/>
        <v>#REF!</v>
      </c>
      <c r="J14" s="279"/>
    </row>
    <row r="15" spans="2:14" ht="9.75" customHeight="1" x14ac:dyDescent="0.3">
      <c r="B15" s="291"/>
      <c r="C15" s="291"/>
      <c r="D15" s="286"/>
      <c r="E15" s="286"/>
      <c r="F15" s="286"/>
      <c r="G15" s="286"/>
      <c r="H15" s="286"/>
      <c r="I15" s="286"/>
      <c r="J15" s="286"/>
    </row>
    <row r="16" spans="2:14" ht="22.5" customHeight="1" x14ac:dyDescent="0.25">
      <c r="B16" s="547" t="s">
        <v>227</v>
      </c>
      <c r="C16" s="556"/>
      <c r="D16" s="556"/>
      <c r="E16" s="548"/>
      <c r="F16" s="292"/>
      <c r="G16" s="279"/>
      <c r="H16" s="279"/>
      <c r="I16" s="279"/>
      <c r="J16" s="279"/>
      <c r="K16" s="572" t="s">
        <v>228</v>
      </c>
      <c r="L16" s="573"/>
      <c r="M16" s="573"/>
      <c r="N16" s="574"/>
    </row>
    <row r="18" spans="8:14" ht="22.5" customHeight="1" x14ac:dyDescent="0.2">
      <c r="K18" s="559" t="s">
        <v>169</v>
      </c>
      <c r="L18" s="560"/>
      <c r="M18" s="560"/>
      <c r="N18" s="561"/>
    </row>
    <row r="19" spans="8:14" ht="22.5" customHeight="1" x14ac:dyDescent="0.2">
      <c r="K19" s="562"/>
      <c r="L19" s="563"/>
      <c r="M19" s="563"/>
      <c r="N19" s="564"/>
    </row>
    <row r="20" spans="8:14" ht="22.5" customHeight="1" x14ac:dyDescent="0.2">
      <c r="K20" s="562"/>
      <c r="L20" s="563"/>
      <c r="M20" s="563"/>
      <c r="N20" s="564"/>
    </row>
    <row r="21" spans="8:14" ht="22.5" customHeight="1" x14ac:dyDescent="0.2">
      <c r="K21" s="562"/>
      <c r="L21" s="563"/>
      <c r="M21" s="563"/>
      <c r="N21" s="564"/>
    </row>
    <row r="22" spans="8:14" ht="22.5" customHeight="1" x14ac:dyDescent="0.2">
      <c r="K22" s="562"/>
      <c r="L22" s="563"/>
      <c r="M22" s="563"/>
      <c r="N22" s="564"/>
    </row>
    <row r="23" spans="8:14" ht="22.5" customHeight="1" x14ac:dyDescent="0.2">
      <c r="K23" s="562"/>
      <c r="L23" s="563"/>
      <c r="M23" s="563"/>
      <c r="N23" s="564"/>
    </row>
    <row r="24" spans="8:14" ht="22.5" customHeight="1" x14ac:dyDescent="0.2">
      <c r="K24" s="562"/>
      <c r="L24" s="563"/>
      <c r="M24" s="563"/>
      <c r="N24" s="564"/>
    </row>
    <row r="25" spans="8:14" ht="22.5" customHeight="1" x14ac:dyDescent="0.2">
      <c r="K25" s="562"/>
      <c r="L25" s="563"/>
      <c r="M25" s="563"/>
      <c r="N25" s="564"/>
    </row>
    <row r="26" spans="8:14" ht="22.5" customHeight="1" x14ac:dyDescent="0.2">
      <c r="K26" s="565"/>
      <c r="L26" s="566"/>
      <c r="M26" s="566"/>
      <c r="N26" s="567"/>
    </row>
    <row r="27" spans="8:14" ht="6" customHeight="1" x14ac:dyDescent="0.2"/>
    <row r="28" spans="8:14" ht="19.5" customHeight="1" x14ac:dyDescent="0.2">
      <c r="H28" s="568" t="s">
        <v>169</v>
      </c>
      <c r="I28" s="569"/>
      <c r="J28" s="569"/>
    </row>
  </sheetData>
  <sheetProtection algorithmName="SHA-512" hashValue="5uKV9n6qNXbq468aex13Nb0UqtfytpTkGNQe7TS5zCb0ZbNaG8VCMj/NPZnZo+xIGzm1Oo2dwhQu/fvHcwUgZg==" saltValue="CoRKLbQfWsOKJPb9+8SYyg==" spinCount="100000" sheet="1" formatCells="0" formatColumns="0" formatRows="0" insertColumns="0" insertRows="0" insertHyperlinks="0" deleteColumns="0" deleteRows="0" pivotTables="0"/>
  <mergeCells count="24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H6:J6"/>
    <mergeCell ref="B16:E16"/>
    <mergeCell ref="K16:N16"/>
    <mergeCell ref="K18:N26"/>
    <mergeCell ref="H28:J28"/>
    <mergeCell ref="B7:C7"/>
    <mergeCell ref="D7:J7"/>
    <mergeCell ref="B9:J9"/>
    <mergeCell ref="B12:C12"/>
    <mergeCell ref="B13:C13"/>
    <mergeCell ref="B14:C14"/>
  </mergeCells>
  <pageMargins left="0.7" right="0.7" top="0.75" bottom="0.75" header="0" footer="0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6F5F-9E7C-4BCB-B48C-4E1115192580}">
  <sheetPr>
    <tabColor theme="9" tint="-0.499984740745262"/>
    <pageSetUpPr fitToPage="1"/>
  </sheetPr>
  <dimension ref="B2:N41"/>
  <sheetViews>
    <sheetView showGridLines="0" topLeftCell="A20" workbookViewId="0">
      <selection activeCell="H24" sqref="H2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/>
    <row r="11" spans="2:10" ht="22.5" customHeight="1" thickBot="1" x14ac:dyDescent="0.25">
      <c r="B11" s="14"/>
      <c r="C11" s="14"/>
      <c r="D11" s="89" t="s">
        <v>218</v>
      </c>
      <c r="E11" s="89" t="s">
        <v>219</v>
      </c>
      <c r="F11" s="89" t="s">
        <v>220</v>
      </c>
      <c r="G11" s="105" t="s">
        <v>221</v>
      </c>
      <c r="H11" s="105" t="s">
        <v>222</v>
      </c>
      <c r="I11" s="105" t="s">
        <v>223</v>
      </c>
    </row>
    <row r="12" spans="2:10" ht="41.25" customHeight="1" thickBot="1" x14ac:dyDescent="0.25">
      <c r="B12" s="667" t="s">
        <v>238</v>
      </c>
      <c r="C12" s="667"/>
      <c r="D12" s="29">
        <v>4.2699999999999996</v>
      </c>
      <c r="E12" s="29" t="s">
        <v>231</v>
      </c>
      <c r="F12" s="29">
        <v>4.25</v>
      </c>
      <c r="G12" s="29">
        <v>4</v>
      </c>
      <c r="H12" s="29" t="s">
        <v>565</v>
      </c>
      <c r="I12" s="202" t="s">
        <v>254</v>
      </c>
    </row>
    <row r="13" spans="2:10" ht="41.25" customHeight="1" thickBot="1" x14ac:dyDescent="0.25">
      <c r="B13" s="667" t="s">
        <v>337</v>
      </c>
      <c r="C13" s="667"/>
      <c r="D13" s="29" t="s">
        <v>231</v>
      </c>
      <c r="E13" s="29" t="s">
        <v>231</v>
      </c>
      <c r="F13" s="29">
        <v>3.8</v>
      </c>
      <c r="G13" s="29">
        <v>4</v>
      </c>
      <c r="H13" s="29" t="s">
        <v>566</v>
      </c>
      <c r="I13" s="165" t="s">
        <v>254</v>
      </c>
    </row>
    <row r="14" spans="2:10" ht="41.25" customHeight="1" thickBot="1" x14ac:dyDescent="0.25">
      <c r="B14" s="667" t="s">
        <v>287</v>
      </c>
      <c r="C14" s="667"/>
      <c r="D14" s="29" t="s">
        <v>231</v>
      </c>
      <c r="E14" s="29">
        <v>2.8</v>
      </c>
      <c r="F14" s="29">
        <v>4.17</v>
      </c>
      <c r="G14" s="29">
        <v>4</v>
      </c>
      <c r="H14" s="29" t="s">
        <v>567</v>
      </c>
      <c r="I14" s="165" t="s">
        <v>254</v>
      </c>
    </row>
    <row r="15" spans="2:10" ht="41.25" customHeight="1" thickBot="1" x14ac:dyDescent="0.25">
      <c r="B15" s="667" t="s">
        <v>241</v>
      </c>
      <c r="C15" s="667"/>
      <c r="D15" s="29">
        <v>4.1100000000000003</v>
      </c>
      <c r="E15" s="29">
        <v>3.81</v>
      </c>
      <c r="F15" s="29">
        <v>4.38</v>
      </c>
      <c r="G15" s="29">
        <v>3.5</v>
      </c>
      <c r="H15" s="29" t="s">
        <v>568</v>
      </c>
      <c r="I15" s="165" t="s">
        <v>254</v>
      </c>
    </row>
    <row r="16" spans="2:10" ht="41.25" customHeight="1" thickBot="1" x14ac:dyDescent="0.25">
      <c r="B16" s="667" t="s">
        <v>330</v>
      </c>
      <c r="C16" s="667"/>
      <c r="D16" s="29" t="s">
        <v>231</v>
      </c>
      <c r="E16" s="29" t="s">
        <v>231</v>
      </c>
      <c r="F16" s="29" t="s">
        <v>231</v>
      </c>
      <c r="G16" s="29">
        <v>4</v>
      </c>
      <c r="H16" s="29" t="s">
        <v>569</v>
      </c>
      <c r="I16" s="165" t="s">
        <v>254</v>
      </c>
    </row>
    <row r="17" spans="2:14" ht="41.25" customHeight="1" thickBot="1" x14ac:dyDescent="0.25">
      <c r="B17" s="667" t="s">
        <v>331</v>
      </c>
      <c r="C17" s="667"/>
      <c r="D17" s="29">
        <v>3.75</v>
      </c>
      <c r="E17" s="29">
        <v>4.1399999999999997</v>
      </c>
      <c r="F17" s="29" t="s">
        <v>231</v>
      </c>
      <c r="G17" s="29">
        <v>3.75</v>
      </c>
      <c r="H17" s="29" t="s">
        <v>570</v>
      </c>
      <c r="I17" s="165" t="s">
        <v>254</v>
      </c>
      <c r="K17" s="21"/>
      <c r="L17" s="26"/>
      <c r="M17" s="26"/>
    </row>
    <row r="18" spans="2:14" ht="41.25" customHeight="1" thickBot="1" x14ac:dyDescent="0.25">
      <c r="B18" s="667" t="s">
        <v>244</v>
      </c>
      <c r="C18" s="667"/>
      <c r="D18" s="29">
        <v>3.4</v>
      </c>
      <c r="E18" s="29" t="s">
        <v>231</v>
      </c>
      <c r="F18" s="29" t="s">
        <v>231</v>
      </c>
      <c r="G18" s="29" t="s">
        <v>231</v>
      </c>
      <c r="H18" s="29" t="s">
        <v>567</v>
      </c>
      <c r="I18" s="165" t="s">
        <v>254</v>
      </c>
      <c r="K18" s="68" t="s">
        <v>228</v>
      </c>
      <c r="L18" s="142"/>
      <c r="M18" s="142"/>
      <c r="N18" s="141"/>
    </row>
    <row r="19" spans="2:14" ht="41.25" customHeight="1" thickBot="1" x14ac:dyDescent="0.25">
      <c r="B19" s="667" t="s">
        <v>344</v>
      </c>
      <c r="C19" s="667"/>
      <c r="D19" s="29">
        <v>4.2</v>
      </c>
      <c r="E19" s="29">
        <v>4.43</v>
      </c>
      <c r="F19" s="29">
        <v>3.82</v>
      </c>
      <c r="G19" s="29">
        <v>2.8</v>
      </c>
      <c r="H19" s="29" t="s">
        <v>568</v>
      </c>
      <c r="I19" s="165" t="s">
        <v>254</v>
      </c>
      <c r="K19" s="7"/>
      <c r="L19" s="7"/>
      <c r="M19" s="7"/>
      <c r="N19" s="7"/>
    </row>
    <row r="20" spans="2:14" ht="41.25" customHeight="1" thickBot="1" x14ac:dyDescent="0.25">
      <c r="B20" s="667" t="s">
        <v>246</v>
      </c>
      <c r="C20" s="667"/>
      <c r="D20" s="29">
        <v>3.73</v>
      </c>
      <c r="E20" s="29">
        <v>4.22</v>
      </c>
      <c r="F20" s="29">
        <v>3.8</v>
      </c>
      <c r="G20" s="29">
        <v>3.5</v>
      </c>
      <c r="H20" s="29" t="s">
        <v>571</v>
      </c>
      <c r="I20" s="165" t="s">
        <v>254</v>
      </c>
      <c r="K20" s="610" t="s">
        <v>572</v>
      </c>
      <c r="L20" s="560"/>
      <c r="M20" s="560"/>
      <c r="N20" s="561"/>
    </row>
    <row r="21" spans="2:14" ht="41.25" customHeight="1" thickBot="1" x14ac:dyDescent="0.25">
      <c r="B21" s="667" t="s">
        <v>247</v>
      </c>
      <c r="C21" s="667"/>
      <c r="D21" s="29">
        <v>3.94</v>
      </c>
      <c r="E21" s="29">
        <v>3.78</v>
      </c>
      <c r="F21" s="29">
        <v>3.42</v>
      </c>
      <c r="G21" s="29">
        <v>4.5</v>
      </c>
      <c r="H21" s="29" t="s">
        <v>573</v>
      </c>
      <c r="I21" s="165" t="s">
        <v>254</v>
      </c>
      <c r="K21" s="562"/>
      <c r="L21" s="563"/>
      <c r="M21" s="563"/>
      <c r="N21" s="564"/>
    </row>
    <row r="22" spans="2:14" ht="41.25" customHeight="1" thickBot="1" x14ac:dyDescent="0.25">
      <c r="B22" s="667" t="s">
        <v>248</v>
      </c>
      <c r="C22" s="667"/>
      <c r="D22" s="29">
        <v>3.99</v>
      </c>
      <c r="E22" s="29">
        <v>3.89</v>
      </c>
      <c r="F22" s="29">
        <v>3.93</v>
      </c>
      <c r="G22" s="29">
        <v>3.7</v>
      </c>
      <c r="H22" s="29" t="s">
        <v>574</v>
      </c>
      <c r="I22" s="165" t="s">
        <v>254</v>
      </c>
      <c r="K22" s="562"/>
      <c r="L22" s="563"/>
      <c r="M22" s="563"/>
      <c r="N22" s="564"/>
    </row>
    <row r="23" spans="2:14" ht="22.5" customHeight="1" thickBot="1" x14ac:dyDescent="0.25">
      <c r="B23" s="842" t="e">
        <f>D5</f>
        <v>#REF!</v>
      </c>
      <c r="C23" s="842"/>
      <c r="D23" s="128">
        <f>COUNTIF(D12:D22,"&gt;=3,5")</f>
        <v>7</v>
      </c>
      <c r="E23" s="128">
        <f>COUNTIF(E12:E22,"&gt;=3,5")</f>
        <v>6</v>
      </c>
      <c r="F23" s="128">
        <f>COUNTIF(F12:F22,"&gt;=3,5")</f>
        <v>7</v>
      </c>
      <c r="G23" s="15">
        <f>COUNTIF(G12:G22,"&gt;=3,5")</f>
        <v>9</v>
      </c>
      <c r="H23" s="15">
        <v>11</v>
      </c>
      <c r="I23" s="165" t="s">
        <v>254</v>
      </c>
      <c r="K23" s="562"/>
      <c r="L23" s="563"/>
      <c r="M23" s="563"/>
      <c r="N23" s="564"/>
    </row>
    <row r="24" spans="2:14" ht="22.5" customHeight="1" thickBot="1" x14ac:dyDescent="0.25">
      <c r="B24" s="644" t="s">
        <v>268</v>
      </c>
      <c r="C24" s="644"/>
      <c r="D24" s="15">
        <f>COUNT(D12:D22)</f>
        <v>8</v>
      </c>
      <c r="E24" s="15">
        <f>COUNT(E12:E22)</f>
        <v>7</v>
      </c>
      <c r="F24" s="15">
        <f>COUNT(F12:F22)</f>
        <v>8</v>
      </c>
      <c r="G24" s="15">
        <f>COUNT(G12:G22)</f>
        <v>10</v>
      </c>
      <c r="H24" s="15">
        <v>11</v>
      </c>
      <c r="I24" s="166" t="s">
        <v>254</v>
      </c>
      <c r="K24" s="562"/>
      <c r="L24" s="563"/>
      <c r="M24" s="563"/>
      <c r="N24" s="564"/>
    </row>
    <row r="25" spans="2:14" ht="22.5" customHeight="1" thickBot="1" x14ac:dyDescent="0.25">
      <c r="B25" s="43" t="s">
        <v>225</v>
      </c>
      <c r="C25" s="10" t="e">
        <f>D5</f>
        <v>#REF!</v>
      </c>
      <c r="D25" s="72">
        <v>3.5</v>
      </c>
      <c r="E25" s="72">
        <v>3.5</v>
      </c>
      <c r="F25" s="72">
        <v>3.5</v>
      </c>
      <c r="G25" s="72">
        <v>3.5</v>
      </c>
      <c r="H25" s="72">
        <v>3.5</v>
      </c>
      <c r="I25" s="166" t="s">
        <v>254</v>
      </c>
      <c r="K25" s="562"/>
      <c r="L25" s="563"/>
      <c r="M25" s="563"/>
      <c r="N25" s="564"/>
    </row>
    <row r="26" spans="2:14" ht="22.5" customHeight="1" x14ac:dyDescent="0.2">
      <c r="B26" s="640" t="s">
        <v>226</v>
      </c>
      <c r="C26" s="706"/>
      <c r="D26" s="46">
        <f t="shared" ref="D26:I26" si="0">D23/D24</f>
        <v>0.875</v>
      </c>
      <c r="E26" s="46">
        <f t="shared" si="0"/>
        <v>0.8571428571428571</v>
      </c>
      <c r="F26" s="46">
        <f t="shared" si="0"/>
        <v>0.875</v>
      </c>
      <c r="G26" s="502">
        <f t="shared" si="0"/>
        <v>0.9</v>
      </c>
      <c r="H26" s="502">
        <f t="shared" si="0"/>
        <v>1</v>
      </c>
      <c r="I26" s="46" t="e">
        <f t="shared" si="0"/>
        <v>#VALUE!</v>
      </c>
      <c r="K26" s="562"/>
      <c r="L26" s="563"/>
      <c r="M26" s="563"/>
      <c r="N26" s="564"/>
    </row>
    <row r="27" spans="2:14" ht="22.5" customHeight="1" x14ac:dyDescent="0.25">
      <c r="B27" s="5"/>
      <c r="C27" s="5"/>
      <c r="D27" s="4"/>
      <c r="E27" s="4"/>
      <c r="F27" s="4"/>
      <c r="G27" s="4"/>
      <c r="H27" s="4"/>
      <c r="I27" s="4"/>
      <c r="K27" s="562"/>
      <c r="L27" s="563"/>
      <c r="M27" s="563"/>
      <c r="N27" s="564"/>
    </row>
    <row r="28" spans="2:14" ht="22.5" customHeight="1" x14ac:dyDescent="0.2">
      <c r="B28" s="572" t="s">
        <v>227</v>
      </c>
      <c r="C28" s="573"/>
      <c r="D28" s="573"/>
      <c r="E28" s="574"/>
      <c r="F28" s="6"/>
      <c r="K28" s="565"/>
      <c r="L28" s="566"/>
      <c r="M28" s="566"/>
      <c r="N28" s="567"/>
    </row>
    <row r="40" spans="8:10" ht="19.5" customHeight="1" x14ac:dyDescent="0.2">
      <c r="H40" s="568" t="s">
        <v>169</v>
      </c>
      <c r="I40" s="569"/>
      <c r="J40" s="569"/>
    </row>
    <row r="41" spans="8:10" ht="19.5" customHeight="1" x14ac:dyDescent="0.2">
      <c r="J41" t="s">
        <v>371</v>
      </c>
    </row>
  </sheetData>
  <sheetProtection sheet="1" formatCells="0" formatColumns="0" formatRows="0" insertColumns="0" insertRows="0" insertHyperlinks="0" deleteColumns="0" deleteRows="0" pivotTables="0"/>
  <mergeCells count="33">
    <mergeCell ref="K20:N28"/>
    <mergeCell ref="B20:C20"/>
    <mergeCell ref="E2:J2"/>
    <mergeCell ref="B4:C4"/>
    <mergeCell ref="D4:E4"/>
    <mergeCell ref="F4:G4"/>
    <mergeCell ref="H4:J4"/>
    <mergeCell ref="B2:D2"/>
    <mergeCell ref="F5:G5"/>
    <mergeCell ref="H5:J5"/>
    <mergeCell ref="B6:C6"/>
    <mergeCell ref="D6:E6"/>
    <mergeCell ref="F6:G6"/>
    <mergeCell ref="B5:C5"/>
    <mergeCell ref="D5:E5"/>
    <mergeCell ref="B18:C18"/>
    <mergeCell ref="H40:J40"/>
    <mergeCell ref="B21:C21"/>
    <mergeCell ref="B22:C22"/>
    <mergeCell ref="B23:C23"/>
    <mergeCell ref="B24:C24"/>
    <mergeCell ref="B26:C26"/>
    <mergeCell ref="B28:E28"/>
    <mergeCell ref="B7:C7"/>
    <mergeCell ref="D7:J7"/>
    <mergeCell ref="B19:C19"/>
    <mergeCell ref="B14:C14"/>
    <mergeCell ref="B15:C15"/>
    <mergeCell ref="B16:C16"/>
    <mergeCell ref="B17:C17"/>
    <mergeCell ref="B9:J9"/>
    <mergeCell ref="B12:C12"/>
    <mergeCell ref="B13:C13"/>
  </mergeCells>
  <conditionalFormatting sqref="D12:G22">
    <cfRule type="cellIs" dxfId="16" priority="2" operator="between">
      <formula>0</formula>
      <formula>3.15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FB27-ACC1-4D5B-B114-191BA48A8C2B}">
  <sheetPr>
    <tabColor theme="9" tint="-0.499984740745262"/>
    <pageSetUpPr fitToPage="1"/>
  </sheetPr>
  <dimension ref="B2:N40"/>
  <sheetViews>
    <sheetView showGridLines="0" topLeftCell="A17" workbookViewId="0">
      <selection activeCell="I20" sqref="I20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362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/>
    <row r="11" spans="2:10" ht="22.5" customHeight="1" x14ac:dyDescent="0.2">
      <c r="B11" s="14"/>
      <c r="C11" s="14"/>
      <c r="D11" s="89" t="s">
        <v>218</v>
      </c>
      <c r="E11" s="89" t="s">
        <v>219</v>
      </c>
      <c r="F11" s="89" t="s">
        <v>220</v>
      </c>
      <c r="G11" s="89" t="s">
        <v>221</v>
      </c>
      <c r="H11" s="89" t="s">
        <v>222</v>
      </c>
      <c r="I11" s="89" t="s">
        <v>223</v>
      </c>
    </row>
    <row r="12" spans="2:10" ht="41.25" customHeight="1" thickBot="1" x14ac:dyDescent="0.25">
      <c r="B12" s="667" t="s">
        <v>238</v>
      </c>
      <c r="C12" s="730"/>
      <c r="D12" s="29">
        <v>4.09</v>
      </c>
      <c r="E12" s="54" t="s">
        <v>231</v>
      </c>
      <c r="F12" s="29">
        <v>4.13</v>
      </c>
      <c r="G12" s="29">
        <v>3.8</v>
      </c>
      <c r="H12" s="29">
        <v>4</v>
      </c>
      <c r="I12" s="129" t="s">
        <v>254</v>
      </c>
    </row>
    <row r="13" spans="2:10" ht="41.25" customHeight="1" thickBot="1" x14ac:dyDescent="0.25">
      <c r="B13" s="667" t="s">
        <v>337</v>
      </c>
      <c r="C13" s="730"/>
      <c r="D13" s="54" t="s">
        <v>231</v>
      </c>
      <c r="E13" s="54" t="s">
        <v>231</v>
      </c>
      <c r="F13" s="29">
        <v>4</v>
      </c>
      <c r="G13" s="29">
        <v>5</v>
      </c>
      <c r="H13" s="29">
        <v>3.71</v>
      </c>
      <c r="I13" s="129" t="s">
        <v>254</v>
      </c>
    </row>
    <row r="14" spans="2:10" ht="41.25" customHeight="1" thickBot="1" x14ac:dyDescent="0.25">
      <c r="B14" s="667" t="s">
        <v>287</v>
      </c>
      <c r="C14" s="730"/>
      <c r="D14" s="54" t="s">
        <v>231</v>
      </c>
      <c r="E14" s="29">
        <v>4.4000000000000004</v>
      </c>
      <c r="F14" s="29">
        <v>4.5</v>
      </c>
      <c r="G14" s="29">
        <v>4</v>
      </c>
      <c r="H14" s="29">
        <v>4.67</v>
      </c>
      <c r="I14" s="129" t="s">
        <v>254</v>
      </c>
    </row>
    <row r="15" spans="2:10" ht="41.25" customHeight="1" thickBot="1" x14ac:dyDescent="0.25">
      <c r="B15" s="667" t="s">
        <v>241</v>
      </c>
      <c r="C15" s="730"/>
      <c r="D15" s="29">
        <v>3.56</v>
      </c>
      <c r="E15" s="29">
        <v>3.9</v>
      </c>
      <c r="F15" s="29">
        <v>3.92</v>
      </c>
      <c r="G15" s="29">
        <v>4.17</v>
      </c>
      <c r="H15" s="29">
        <v>4.05</v>
      </c>
      <c r="I15" s="129" t="s">
        <v>254</v>
      </c>
    </row>
    <row r="16" spans="2:10" ht="41.25" customHeight="1" thickBot="1" x14ac:dyDescent="0.25">
      <c r="B16" s="667" t="s">
        <v>330</v>
      </c>
      <c r="C16" s="730"/>
      <c r="D16" s="54" t="s">
        <v>231</v>
      </c>
      <c r="E16" s="54" t="s">
        <v>231</v>
      </c>
      <c r="F16" s="54" t="s">
        <v>231</v>
      </c>
      <c r="G16" s="29">
        <v>4</v>
      </c>
      <c r="H16" s="29">
        <v>4</v>
      </c>
      <c r="I16" s="472" t="s">
        <v>254</v>
      </c>
    </row>
    <row r="17" spans="2:14" ht="41.25" customHeight="1" thickBot="1" x14ac:dyDescent="0.25">
      <c r="B17" s="667" t="s">
        <v>331</v>
      </c>
      <c r="C17" s="730"/>
      <c r="D17" s="29">
        <v>3.38</v>
      </c>
      <c r="E17" s="29">
        <v>3.57</v>
      </c>
      <c r="F17" s="54" t="s">
        <v>231</v>
      </c>
      <c r="G17" s="29">
        <v>4.5</v>
      </c>
      <c r="H17" s="29">
        <v>4.25</v>
      </c>
      <c r="I17" s="129" t="s">
        <v>254</v>
      </c>
      <c r="K17" s="21"/>
      <c r="L17" s="26"/>
      <c r="M17" s="26"/>
    </row>
    <row r="18" spans="2:14" ht="41.25" customHeight="1" thickBot="1" x14ac:dyDescent="0.25">
      <c r="B18" s="667" t="s">
        <v>244</v>
      </c>
      <c r="C18" s="730"/>
      <c r="D18" s="29">
        <v>4.2</v>
      </c>
      <c r="E18" s="54" t="s">
        <v>231</v>
      </c>
      <c r="F18" s="54" t="s">
        <v>231</v>
      </c>
      <c r="G18" s="54" t="s">
        <v>231</v>
      </c>
      <c r="H18" s="29">
        <v>4.1399999999999997</v>
      </c>
      <c r="I18" s="129" t="s">
        <v>254</v>
      </c>
      <c r="K18" s="21"/>
      <c r="L18" s="26"/>
      <c r="M18" s="26"/>
    </row>
    <row r="19" spans="2:14" ht="41.25" customHeight="1" thickBot="1" x14ac:dyDescent="0.25">
      <c r="B19" s="667" t="s">
        <v>344</v>
      </c>
      <c r="C19" s="667"/>
      <c r="D19" s="32" t="s">
        <v>231</v>
      </c>
      <c r="E19" s="32" t="s">
        <v>231</v>
      </c>
      <c r="F19" s="54" t="s">
        <v>231</v>
      </c>
      <c r="G19" s="32" t="s">
        <v>231</v>
      </c>
      <c r="H19" s="34">
        <v>4</v>
      </c>
      <c r="I19" s="129" t="s">
        <v>254</v>
      </c>
      <c r="K19" s="21"/>
      <c r="L19" s="26"/>
      <c r="M19" s="26"/>
    </row>
    <row r="20" spans="2:14" ht="41.25" customHeight="1" thickBot="1" x14ac:dyDescent="0.25">
      <c r="B20" s="667" t="s">
        <v>246</v>
      </c>
      <c r="C20" s="730"/>
      <c r="D20" s="29">
        <v>4</v>
      </c>
      <c r="E20" s="29">
        <v>3.5</v>
      </c>
      <c r="F20" s="29">
        <v>3.45</v>
      </c>
      <c r="G20" s="29">
        <v>3.2</v>
      </c>
      <c r="H20" s="29">
        <v>4.37</v>
      </c>
      <c r="I20" s="129" t="s">
        <v>254</v>
      </c>
      <c r="J20" s="27"/>
    </row>
    <row r="21" spans="2:14" ht="41.25" customHeight="1" thickBot="1" x14ac:dyDescent="0.25">
      <c r="B21" s="667" t="s">
        <v>247</v>
      </c>
      <c r="C21" s="730"/>
      <c r="D21" s="29">
        <v>3.81</v>
      </c>
      <c r="E21" s="29">
        <v>4.1500000000000004</v>
      </c>
      <c r="F21" s="29">
        <v>3.25</v>
      </c>
      <c r="G21" s="29">
        <v>4.5</v>
      </c>
      <c r="H21" s="29">
        <v>4.2699999999999996</v>
      </c>
      <c r="I21" s="129" t="s">
        <v>254</v>
      </c>
      <c r="J21" s="28"/>
      <c r="K21" s="53"/>
      <c r="L21" s="53"/>
      <c r="M21" s="53"/>
      <c r="N21" s="53"/>
    </row>
    <row r="22" spans="2:14" ht="41.25" customHeight="1" thickBot="1" x14ac:dyDescent="0.25">
      <c r="B22" s="731" t="s">
        <v>248</v>
      </c>
      <c r="C22" s="732"/>
      <c r="D22" s="29">
        <v>3.79</v>
      </c>
      <c r="E22" s="29">
        <v>3.96</v>
      </c>
      <c r="F22" s="29">
        <v>3.88</v>
      </c>
      <c r="G22" s="29">
        <v>4.5</v>
      </c>
      <c r="H22" s="29">
        <v>4.1500000000000004</v>
      </c>
      <c r="I22" s="129" t="s">
        <v>254</v>
      </c>
      <c r="J22" s="28"/>
      <c r="K22" s="53"/>
      <c r="L22" s="53"/>
      <c r="M22" s="53"/>
      <c r="N22" s="53"/>
    </row>
    <row r="23" spans="2:14" ht="22.5" customHeight="1" thickBot="1" x14ac:dyDescent="0.25">
      <c r="B23" s="785" t="e">
        <f>D5</f>
        <v>#REF!</v>
      </c>
      <c r="C23" s="785"/>
      <c r="D23" s="128">
        <f t="shared" ref="D23:H23" si="0">COUNTIF(D12:D22,"&gt;=3,5")</f>
        <v>6</v>
      </c>
      <c r="E23" s="128">
        <f t="shared" si="0"/>
        <v>6</v>
      </c>
      <c r="F23" s="128">
        <f t="shared" si="0"/>
        <v>5</v>
      </c>
      <c r="G23" s="128">
        <f t="shared" si="0"/>
        <v>8</v>
      </c>
      <c r="H23" s="128">
        <f t="shared" si="0"/>
        <v>11</v>
      </c>
      <c r="I23" s="129" t="s">
        <v>254</v>
      </c>
    </row>
    <row r="24" spans="2:14" ht="22.5" customHeight="1" x14ac:dyDescent="0.2">
      <c r="B24" s="644" t="s">
        <v>268</v>
      </c>
      <c r="C24" s="644"/>
      <c r="D24" s="15">
        <f t="shared" ref="D24:I24" si="1">COUNT(D12:D22)</f>
        <v>7</v>
      </c>
      <c r="E24" s="15">
        <f t="shared" si="1"/>
        <v>6</v>
      </c>
      <c r="F24" s="15">
        <f t="shared" si="1"/>
        <v>7</v>
      </c>
      <c r="G24" s="15">
        <f t="shared" si="1"/>
        <v>9</v>
      </c>
      <c r="H24" s="15">
        <f t="shared" si="1"/>
        <v>11</v>
      </c>
      <c r="I24" s="15">
        <f t="shared" si="1"/>
        <v>0</v>
      </c>
    </row>
    <row r="25" spans="2:14" ht="22.5" customHeight="1" x14ac:dyDescent="0.2">
      <c r="B25" s="43" t="s">
        <v>225</v>
      </c>
      <c r="C25" s="10" t="e">
        <f>D5</f>
        <v>#REF!</v>
      </c>
      <c r="D25" s="72">
        <v>3.5</v>
      </c>
      <c r="E25" s="72">
        <v>3.5</v>
      </c>
      <c r="F25" s="72">
        <v>3.5</v>
      </c>
      <c r="G25" s="72">
        <v>3.5</v>
      </c>
      <c r="H25" s="72">
        <v>3.5</v>
      </c>
      <c r="I25" s="72">
        <v>3.5</v>
      </c>
    </row>
    <row r="26" spans="2:14" ht="22.5" customHeight="1" x14ac:dyDescent="0.2">
      <c r="B26" s="640" t="s">
        <v>226</v>
      </c>
      <c r="C26" s="706"/>
      <c r="D26" s="46">
        <f t="shared" ref="D26:I26" si="2">D23/D24</f>
        <v>0.8571428571428571</v>
      </c>
      <c r="E26" s="502">
        <f t="shared" si="2"/>
        <v>1</v>
      </c>
      <c r="F26" s="46">
        <f t="shared" si="2"/>
        <v>0.7142857142857143</v>
      </c>
      <c r="G26" s="46">
        <f t="shared" si="2"/>
        <v>0.88888888888888884</v>
      </c>
      <c r="H26" s="502">
        <f t="shared" si="2"/>
        <v>1</v>
      </c>
      <c r="I26" s="46" t="e">
        <f t="shared" si="2"/>
        <v>#VALUE!</v>
      </c>
    </row>
    <row r="27" spans="2:14" ht="22.5" customHeight="1" x14ac:dyDescent="0.25">
      <c r="B27" s="5"/>
      <c r="C27" s="5"/>
      <c r="D27" s="4"/>
      <c r="E27" s="4"/>
      <c r="F27" s="4"/>
      <c r="G27" s="4"/>
      <c r="H27" s="4"/>
      <c r="I27" s="4"/>
      <c r="J27" s="4"/>
    </row>
    <row r="28" spans="2:14" ht="22.5" customHeight="1" x14ac:dyDescent="0.2">
      <c r="B28" s="572" t="s">
        <v>227</v>
      </c>
      <c r="C28" s="573"/>
      <c r="D28" s="573"/>
      <c r="E28" s="574"/>
      <c r="F28" s="6"/>
      <c r="K28" s="572" t="s">
        <v>228</v>
      </c>
      <c r="L28" s="573"/>
      <c r="M28" s="573"/>
      <c r="N28" s="574"/>
    </row>
    <row r="29" spans="2:14" ht="22.5" customHeight="1" x14ac:dyDescent="0.2">
      <c r="B29" s="6"/>
      <c r="C29" s="6"/>
      <c r="D29" s="6"/>
      <c r="E29" s="6"/>
      <c r="F29" s="6"/>
      <c r="K29" s="7"/>
      <c r="L29" s="7"/>
      <c r="M29" s="7"/>
      <c r="N29" s="7"/>
    </row>
    <row r="30" spans="2:14" ht="6" customHeight="1" x14ac:dyDescent="0.2">
      <c r="B30" s="6"/>
      <c r="C30" s="6"/>
      <c r="D30" s="6"/>
      <c r="E30" s="6"/>
      <c r="F30" s="6"/>
      <c r="K30" s="610" t="s">
        <v>575</v>
      </c>
      <c r="L30" s="560"/>
      <c r="M30" s="560"/>
      <c r="N30" s="561"/>
    </row>
    <row r="31" spans="2:14" ht="19.5" customHeight="1" x14ac:dyDescent="0.2">
      <c r="B31" s="6"/>
      <c r="C31" s="6"/>
      <c r="D31" s="6"/>
      <c r="E31" s="6"/>
      <c r="F31" s="6"/>
      <c r="K31" s="562"/>
      <c r="L31" s="563"/>
      <c r="M31" s="563"/>
      <c r="N31" s="564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2"/>
      <c r="L36" s="563"/>
      <c r="M36" s="563"/>
      <c r="N36" s="564"/>
    </row>
    <row r="37" spans="8:14" ht="19.5" customHeight="1" x14ac:dyDescent="0.2">
      <c r="K37" s="562"/>
      <c r="L37" s="563"/>
      <c r="M37" s="563"/>
      <c r="N37" s="564"/>
    </row>
    <row r="38" spans="8:14" ht="19.5" customHeight="1" x14ac:dyDescent="0.2">
      <c r="K38" s="565"/>
      <c r="L38" s="566"/>
      <c r="M38" s="566"/>
      <c r="N38" s="567"/>
    </row>
    <row r="39" spans="8:14" ht="19.5" customHeight="1" x14ac:dyDescent="0.2"/>
    <row r="40" spans="8:14" ht="19.5" customHeight="1" x14ac:dyDescent="0.2">
      <c r="H40" s="568" t="s">
        <v>169</v>
      </c>
      <c r="I40" s="569"/>
      <c r="J40" s="569"/>
    </row>
  </sheetData>
  <sheetProtection sheet="1" formatCells="0" formatColumns="0" formatRows="0" insertColumns="0" insertRows="0" insertHyperlinks="0" deleteColumns="0" deleteRows="0" pivotTables="0"/>
  <mergeCells count="34">
    <mergeCell ref="B2:D2"/>
    <mergeCell ref="E2:J2"/>
    <mergeCell ref="B4:C4"/>
    <mergeCell ref="D4:E4"/>
    <mergeCell ref="F4:G4"/>
    <mergeCell ref="H4:J4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B22:C22"/>
    <mergeCell ref="B9:J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K30:N38"/>
    <mergeCell ref="H40:J40"/>
    <mergeCell ref="B23:C23"/>
    <mergeCell ref="B24:C24"/>
    <mergeCell ref="B26:C26"/>
    <mergeCell ref="B28:E28"/>
    <mergeCell ref="K28:N28"/>
  </mergeCells>
  <conditionalFormatting sqref="D12:G18 F19 D20:G22">
    <cfRule type="cellIs" dxfId="15" priority="4" operator="between">
      <formula>0</formula>
      <formula>3.15</formula>
    </cfRule>
  </conditionalFormatting>
  <conditionalFormatting sqref="D12:H22">
    <cfRule type="cellIs" dxfId="14" priority="1" operator="lessThan">
      <formula>3.5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7DA6-0E8B-4644-8A1D-1EED9C83A898}">
  <sheetPr>
    <tabColor theme="9" tint="-0.499984740745262"/>
    <pageSetUpPr fitToPage="1"/>
  </sheetPr>
  <dimension ref="B2:L45"/>
  <sheetViews>
    <sheetView showGridLines="0" topLeftCell="A27" workbookViewId="0">
      <selection activeCell="G31" sqref="G31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8" width="12.5703125" customWidth="1"/>
    <col min="9" max="9" width="36.28515625" customWidth="1"/>
    <col min="10" max="10" width="8.85546875" customWidth="1"/>
    <col min="11" max="20" width="7.5703125" customWidth="1"/>
  </cols>
  <sheetData>
    <row r="2" spans="2:9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8"/>
    </row>
    <row r="3" spans="2:9" ht="22.5" customHeight="1" x14ac:dyDescent="0.2">
      <c r="B3" s="44"/>
      <c r="C3" s="44"/>
      <c r="D3" s="45"/>
      <c r="E3" s="45"/>
      <c r="F3" s="45"/>
      <c r="G3" s="45"/>
      <c r="H3" s="45"/>
    </row>
    <row r="4" spans="2:9" ht="42" customHeight="1" x14ac:dyDescent="0.2">
      <c r="B4" s="572" t="s">
        <v>208</v>
      </c>
      <c r="C4" s="574"/>
      <c r="D4" s="649" t="e">
        <f>#REF!</f>
        <v>#REF!</v>
      </c>
      <c r="E4" s="658"/>
      <c r="F4" s="68" t="s">
        <v>209</v>
      </c>
      <c r="G4" s="649" t="e">
        <f>#REF!</f>
        <v>#REF!</v>
      </c>
      <c r="H4" s="650"/>
      <c r="I4" s="658"/>
    </row>
    <row r="5" spans="2:9" ht="22.5" customHeight="1" x14ac:dyDescent="0.2">
      <c r="B5" s="572" t="s">
        <v>317</v>
      </c>
      <c r="C5" s="574"/>
      <c r="D5" s="707" t="e">
        <f>#REF!</f>
        <v>#REF!</v>
      </c>
      <c r="E5" s="658"/>
      <c r="F5" s="69" t="s">
        <v>211</v>
      </c>
      <c r="G5" s="745" t="s">
        <v>235</v>
      </c>
      <c r="H5" s="650"/>
      <c r="I5" s="612"/>
    </row>
    <row r="6" spans="2:9" ht="22.5" customHeight="1" x14ac:dyDescent="0.2">
      <c r="B6" s="572" t="s">
        <v>213</v>
      </c>
      <c r="C6" s="574"/>
      <c r="D6" s="649" t="s">
        <v>214</v>
      </c>
      <c r="E6" s="658"/>
      <c r="F6" s="68" t="s">
        <v>236</v>
      </c>
      <c r="G6" s="107" t="e">
        <f>#REF!</f>
        <v>#REF!</v>
      </c>
      <c r="H6" s="124"/>
      <c r="I6" s="103"/>
    </row>
    <row r="7" spans="2:9" ht="22.5" customHeight="1" x14ac:dyDescent="0.2">
      <c r="B7" s="572" t="s">
        <v>216</v>
      </c>
      <c r="C7" s="574"/>
      <c r="D7" s="843" t="e">
        <f>#REF!</f>
        <v>#REF!</v>
      </c>
      <c r="E7" s="844"/>
      <c r="F7" s="844"/>
      <c r="G7" s="844"/>
      <c r="H7" s="844"/>
      <c r="I7" s="845"/>
    </row>
    <row r="8" spans="2:9" ht="7.5" customHeight="1" x14ac:dyDescent="0.2"/>
    <row r="9" spans="2:9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4"/>
    </row>
    <row r="10" spans="2:9" ht="22.5" customHeight="1" x14ac:dyDescent="0.2">
      <c r="B10" s="18" t="s">
        <v>169</v>
      </c>
      <c r="C10" s="11"/>
      <c r="D10" s="11"/>
      <c r="E10" s="11"/>
      <c r="F10" s="11"/>
      <c r="G10" s="11"/>
      <c r="H10" s="11"/>
      <c r="I10" s="11"/>
    </row>
    <row r="11" spans="2:9" ht="22.5" customHeight="1" x14ac:dyDescent="0.2"/>
    <row r="12" spans="2:9" ht="22.5" customHeight="1" thickBot="1" x14ac:dyDescent="0.25">
      <c r="B12" s="14"/>
      <c r="C12" s="14"/>
      <c r="D12" s="98">
        <v>2014</v>
      </c>
      <c r="E12" s="98">
        <v>2017</v>
      </c>
      <c r="F12" s="98">
        <v>2020</v>
      </c>
      <c r="G12" s="98">
        <v>2023</v>
      </c>
      <c r="H12" s="22"/>
    </row>
    <row r="13" spans="2:9" ht="41.25" customHeight="1" thickBot="1" x14ac:dyDescent="0.25">
      <c r="B13" s="667" t="s">
        <v>238</v>
      </c>
      <c r="C13" s="730"/>
      <c r="D13" s="62">
        <v>0.7</v>
      </c>
      <c r="E13" s="73">
        <v>0.84199999999999997</v>
      </c>
      <c r="F13" s="62">
        <v>0.77</v>
      </c>
      <c r="G13" s="473">
        <v>0.85699999999999998</v>
      </c>
      <c r="H13" s="175"/>
    </row>
    <row r="14" spans="2:9" ht="16.5" thickBot="1" x14ac:dyDescent="0.25">
      <c r="B14" s="667" t="s">
        <v>240</v>
      </c>
      <c r="C14" s="730"/>
      <c r="D14" s="62">
        <v>0.87</v>
      </c>
      <c r="E14" s="73">
        <v>0.95699999999999996</v>
      </c>
      <c r="F14" s="73">
        <v>0.90300000000000002</v>
      </c>
      <c r="G14" s="474">
        <v>0.92600000000000005</v>
      </c>
      <c r="H14" s="175"/>
    </row>
    <row r="15" spans="2:9" ht="16.5" thickBot="1" x14ac:dyDescent="0.25">
      <c r="B15" s="667" t="s">
        <v>241</v>
      </c>
      <c r="C15" s="730"/>
      <c r="D15" s="42" t="s">
        <v>269</v>
      </c>
      <c r="E15" s="42" t="s">
        <v>269</v>
      </c>
      <c r="F15" s="62">
        <v>0.87</v>
      </c>
      <c r="G15" s="474">
        <v>0.91100000000000003</v>
      </c>
      <c r="H15" s="175"/>
    </row>
    <row r="16" spans="2:9" ht="37.5" customHeight="1" thickBot="1" x14ac:dyDescent="0.25">
      <c r="B16" s="667" t="s">
        <v>244</v>
      </c>
      <c r="C16" s="730"/>
      <c r="D16" s="42" t="s">
        <v>270</v>
      </c>
      <c r="E16" s="73">
        <v>0.69599999999999995</v>
      </c>
      <c r="F16" s="73">
        <v>0.90300000000000002</v>
      </c>
      <c r="G16" s="474">
        <v>0.93200000000000005</v>
      </c>
      <c r="H16" s="175"/>
    </row>
    <row r="17" spans="2:7" ht="50.25" customHeight="1" thickBot="1" x14ac:dyDescent="0.25">
      <c r="B17" s="667" t="s">
        <v>245</v>
      </c>
      <c r="C17" s="730"/>
      <c r="D17" s="42" t="s">
        <v>231</v>
      </c>
      <c r="E17" s="42" t="s">
        <v>231</v>
      </c>
      <c r="F17" s="42" t="s">
        <v>232</v>
      </c>
      <c r="G17" s="165" t="s">
        <v>271</v>
      </c>
    </row>
    <row r="18" spans="2:7" ht="29.25" customHeight="1" x14ac:dyDescent="0.2">
      <c r="B18" s="667" t="s">
        <v>246</v>
      </c>
      <c r="C18" s="730"/>
      <c r="D18" s="73">
        <v>0.95699999999999996</v>
      </c>
      <c r="E18" s="62">
        <v>0.87</v>
      </c>
      <c r="F18" s="73">
        <v>0.90300000000000002</v>
      </c>
      <c r="G18" s="476">
        <v>0.88600000000000001</v>
      </c>
    </row>
    <row r="19" spans="2:7" ht="29.25" customHeight="1" x14ac:dyDescent="0.2">
      <c r="B19" s="667" t="s">
        <v>247</v>
      </c>
      <c r="C19" s="730"/>
      <c r="D19" s="42" t="s">
        <v>272</v>
      </c>
      <c r="E19" s="42" t="s">
        <v>273</v>
      </c>
      <c r="F19" s="475">
        <v>0.91100000000000003</v>
      </c>
      <c r="G19" s="455">
        <v>0.83599999999999997</v>
      </c>
    </row>
    <row r="20" spans="2:7" ht="15" customHeight="1" x14ac:dyDescent="0.2">
      <c r="B20" s="667" t="s">
        <v>248</v>
      </c>
      <c r="C20" s="730"/>
      <c r="D20" s="73">
        <v>0.81299999999999994</v>
      </c>
      <c r="E20" s="73">
        <v>0.91800000000000004</v>
      </c>
      <c r="F20" s="475">
        <v>0.90600000000000003</v>
      </c>
      <c r="G20" s="477">
        <v>0.90100000000000002</v>
      </c>
    </row>
    <row r="21" spans="2:7" ht="39" customHeight="1" x14ac:dyDescent="0.2">
      <c r="B21" s="667" t="s">
        <v>261</v>
      </c>
      <c r="C21" s="730"/>
      <c r="D21" s="73">
        <v>0.878</v>
      </c>
      <c r="E21" s="73">
        <v>0.92200000000000004</v>
      </c>
      <c r="F21" s="475">
        <v>0.875</v>
      </c>
      <c r="G21" s="478">
        <v>0.9</v>
      </c>
    </row>
    <row r="22" spans="2:7" ht="45" customHeight="1" thickBot="1" x14ac:dyDescent="0.25">
      <c r="B22" s="667" t="s">
        <v>274</v>
      </c>
      <c r="C22" s="730"/>
      <c r="D22" s="73">
        <v>0.76300000000000001</v>
      </c>
      <c r="E22" s="73">
        <v>0.76800000000000002</v>
      </c>
      <c r="F22" s="62">
        <v>0.85</v>
      </c>
      <c r="G22" s="474">
        <v>0.95199999999999996</v>
      </c>
    </row>
    <row r="23" spans="2:7" ht="28.5" customHeight="1" thickBot="1" x14ac:dyDescent="0.25">
      <c r="B23" s="667" t="s">
        <v>275</v>
      </c>
      <c r="C23" s="730"/>
      <c r="D23" s="73">
        <v>0.71899999999999997</v>
      </c>
      <c r="E23" s="73">
        <v>0.81299999999999994</v>
      </c>
      <c r="F23" s="73">
        <v>0.877</v>
      </c>
      <c r="G23" s="474">
        <v>0.76500000000000001</v>
      </c>
    </row>
    <row r="24" spans="2:7" ht="33.75" customHeight="1" thickBot="1" x14ac:dyDescent="0.25">
      <c r="B24" s="667" t="s">
        <v>276</v>
      </c>
      <c r="C24" s="730"/>
      <c r="D24" s="73">
        <v>0.76300000000000001</v>
      </c>
      <c r="E24" s="73">
        <v>0.76800000000000002</v>
      </c>
      <c r="F24" s="62">
        <v>0.85</v>
      </c>
      <c r="G24" s="474">
        <v>0.93600000000000005</v>
      </c>
    </row>
    <row r="25" spans="2:7" ht="26.25" customHeight="1" thickBot="1" x14ac:dyDescent="0.25">
      <c r="B25" s="667" t="s">
        <v>277</v>
      </c>
      <c r="C25" s="730"/>
      <c r="D25" s="62">
        <v>0.92</v>
      </c>
      <c r="E25" s="73">
        <v>0.89300000000000002</v>
      </c>
      <c r="F25" s="73">
        <v>0.97099999999999997</v>
      </c>
      <c r="G25" s="474">
        <v>0.95499999999999996</v>
      </c>
    </row>
    <row r="26" spans="2:7" ht="26.25" customHeight="1" thickBot="1" x14ac:dyDescent="0.25">
      <c r="B26" s="667" t="s">
        <v>576</v>
      </c>
      <c r="C26" s="730"/>
      <c r="D26" s="73">
        <v>0.83599999999999997</v>
      </c>
      <c r="E26" s="73">
        <v>0.88900000000000001</v>
      </c>
      <c r="F26" s="62">
        <v>0.88</v>
      </c>
      <c r="G26" s="474">
        <v>0.85699999999999998</v>
      </c>
    </row>
    <row r="27" spans="2:7" ht="26.25" customHeight="1" x14ac:dyDescent="0.2">
      <c r="B27" s="731" t="s">
        <v>279</v>
      </c>
      <c r="C27" s="732"/>
      <c r="D27" s="123">
        <v>0.95</v>
      </c>
      <c r="E27" s="74">
        <v>0.69199999999999995</v>
      </c>
      <c r="F27" s="74">
        <v>0.82899999999999996</v>
      </c>
      <c r="G27" s="476">
        <v>0.92200000000000004</v>
      </c>
    </row>
    <row r="28" spans="2:7" ht="15" customHeight="1" x14ac:dyDescent="0.2">
      <c r="B28" s="806" t="e">
        <f>D5</f>
        <v>#REF!</v>
      </c>
      <c r="C28" s="806"/>
      <c r="D28" s="15">
        <f>COUNTIF(D14:D27,"&gt;=70%")</f>
        <v>10</v>
      </c>
      <c r="E28" s="15">
        <f t="shared" ref="E28" si="0">COUNTIF(E14:E27,"&gt;=70%")</f>
        <v>9</v>
      </c>
      <c r="F28" s="15">
        <v>14</v>
      </c>
      <c r="G28" s="15">
        <v>14</v>
      </c>
    </row>
    <row r="29" spans="2:7" ht="15" customHeight="1" x14ac:dyDescent="0.2">
      <c r="B29" s="644" t="s">
        <v>268</v>
      </c>
      <c r="C29" s="644"/>
      <c r="D29" s="15">
        <f>COUNT(D13:D27)</f>
        <v>11</v>
      </c>
      <c r="E29" s="15">
        <f>COUNT(E13:E27)</f>
        <v>12</v>
      </c>
      <c r="F29" s="15">
        <v>14</v>
      </c>
      <c r="G29" s="15">
        <v>14</v>
      </c>
    </row>
    <row r="30" spans="2:7" ht="22.5" customHeight="1" x14ac:dyDescent="0.2">
      <c r="B30" s="640" t="s">
        <v>225</v>
      </c>
      <c r="C30" s="706"/>
      <c r="D30" s="146">
        <v>0.7</v>
      </c>
      <c r="E30" s="146">
        <v>0.7</v>
      </c>
      <c r="F30" s="146">
        <v>0.7</v>
      </c>
      <c r="G30" s="146">
        <v>0.7</v>
      </c>
    </row>
    <row r="31" spans="2:7" ht="22.5" customHeight="1" x14ac:dyDescent="0.2">
      <c r="B31" s="640" t="s">
        <v>226</v>
      </c>
      <c r="C31" s="706"/>
      <c r="D31" s="502">
        <f>D28/D29</f>
        <v>0.90909090909090906</v>
      </c>
      <c r="E31" s="46">
        <f>E28/E29</f>
        <v>0.75</v>
      </c>
      <c r="F31" s="502">
        <f>F28/F29</f>
        <v>1</v>
      </c>
      <c r="G31" s="502">
        <f>G28/G29</f>
        <v>1</v>
      </c>
    </row>
    <row r="33" spans="2:12" ht="27" customHeight="1" x14ac:dyDescent="0.2">
      <c r="B33" s="572" t="s">
        <v>227</v>
      </c>
      <c r="C33" s="846"/>
      <c r="D33" s="846"/>
      <c r="E33" s="847"/>
      <c r="F33" s="6"/>
      <c r="J33" s="728"/>
      <c r="K33" s="728"/>
      <c r="L33" s="728"/>
    </row>
    <row r="34" spans="2:12" ht="19.5" customHeight="1" x14ac:dyDescent="0.2">
      <c r="B34" s="6"/>
      <c r="C34" s="6"/>
      <c r="D34" s="6"/>
      <c r="E34" s="6"/>
      <c r="F34" s="6"/>
      <c r="J34" s="7"/>
      <c r="K34" s="7"/>
      <c r="L34" s="7"/>
    </row>
    <row r="35" spans="2:12" ht="19.5" customHeight="1" x14ac:dyDescent="0.2">
      <c r="B35" s="6"/>
      <c r="C35" s="6"/>
      <c r="D35" s="6"/>
      <c r="E35" s="6"/>
      <c r="F35" s="6"/>
      <c r="J35" s="648"/>
      <c r="K35" s="648"/>
      <c r="L35" s="648"/>
    </row>
    <row r="36" spans="2:12" ht="19.5" customHeight="1" x14ac:dyDescent="0.2">
      <c r="B36" s="6"/>
      <c r="C36" s="6"/>
      <c r="D36" s="6"/>
      <c r="E36" s="6"/>
      <c r="F36" s="6"/>
      <c r="J36" s="563"/>
      <c r="K36" s="563"/>
      <c r="L36" s="648"/>
    </row>
    <row r="37" spans="2:12" ht="19.5" customHeight="1" x14ac:dyDescent="0.2">
      <c r="B37" s="6"/>
      <c r="C37" s="6"/>
      <c r="D37" s="6"/>
      <c r="E37" s="6"/>
      <c r="F37" s="6"/>
      <c r="J37" s="563"/>
      <c r="K37" s="563"/>
      <c r="L37" s="648"/>
    </row>
    <row r="38" spans="2:12" ht="19.5" customHeight="1" x14ac:dyDescent="0.2">
      <c r="B38" s="6"/>
      <c r="C38" s="6"/>
      <c r="D38" s="6"/>
      <c r="E38" s="6"/>
      <c r="F38" s="6"/>
      <c r="J38" s="563"/>
      <c r="K38" s="563"/>
      <c r="L38" s="648"/>
    </row>
    <row r="39" spans="2:12" ht="19.5" customHeight="1" x14ac:dyDescent="0.2">
      <c r="B39" s="6"/>
      <c r="C39" s="6"/>
      <c r="D39" s="6"/>
      <c r="E39" s="6"/>
      <c r="F39" s="6"/>
      <c r="J39" s="563"/>
      <c r="K39" s="563"/>
      <c r="L39" s="648"/>
    </row>
    <row r="40" spans="2:12" ht="19.5" customHeight="1" x14ac:dyDescent="0.2">
      <c r="B40" s="6"/>
      <c r="C40" s="6"/>
      <c r="D40" s="6"/>
      <c r="E40" s="6"/>
      <c r="F40" s="6"/>
      <c r="J40" s="563"/>
      <c r="K40" s="563"/>
      <c r="L40" s="648"/>
    </row>
    <row r="41" spans="2:12" ht="19.5" customHeight="1" x14ac:dyDescent="0.2">
      <c r="B41" s="6"/>
      <c r="C41" s="6"/>
      <c r="D41" s="6"/>
      <c r="E41" s="6"/>
      <c r="F41" s="6"/>
      <c r="J41" s="563"/>
      <c r="K41" s="563"/>
      <c r="L41" s="648"/>
    </row>
    <row r="42" spans="2:12" ht="19.5" customHeight="1" x14ac:dyDescent="0.2">
      <c r="B42" s="6"/>
      <c r="C42" s="6"/>
      <c r="D42" s="6"/>
      <c r="E42" s="6"/>
      <c r="F42" s="6"/>
      <c r="J42" s="563"/>
      <c r="K42" s="563"/>
      <c r="L42" s="648"/>
    </row>
    <row r="43" spans="2:12" ht="19.5" customHeight="1" x14ac:dyDescent="0.2">
      <c r="B43" s="6"/>
      <c r="C43" s="6"/>
      <c r="D43" s="6"/>
      <c r="E43" s="6"/>
      <c r="F43" s="6"/>
      <c r="J43" s="648"/>
      <c r="K43" s="648"/>
      <c r="L43" s="648"/>
    </row>
    <row r="44" spans="2:12" ht="19.5" customHeight="1" x14ac:dyDescent="0.2"/>
    <row r="45" spans="2:12" ht="19.5" customHeight="1" x14ac:dyDescent="0.2">
      <c r="G45" s="568" t="s">
        <v>169</v>
      </c>
      <c r="H45" s="569"/>
      <c r="I45" s="569"/>
    </row>
  </sheetData>
  <sheetProtection sheet="1" formatCells="0" formatColumns="0" formatRows="0" insertColumns="0" insertRows="0" insertHyperlinks="0" deleteColumns="0" deleteRows="0" pivotTables="0"/>
  <mergeCells count="36">
    <mergeCell ref="B25:C25"/>
    <mergeCell ref="B26:C26"/>
    <mergeCell ref="B27:C27"/>
    <mergeCell ref="B28:C28"/>
    <mergeCell ref="J35:L43"/>
    <mergeCell ref="B29:C29"/>
    <mergeCell ref="B30:C30"/>
    <mergeCell ref="B31:C31"/>
    <mergeCell ref="B33:E33"/>
    <mergeCell ref="J33:L33"/>
    <mergeCell ref="B19:C19"/>
    <mergeCell ref="B20:C20"/>
    <mergeCell ref="B21:C21"/>
    <mergeCell ref="B22:C22"/>
    <mergeCell ref="B24:C24"/>
    <mergeCell ref="B14:C14"/>
    <mergeCell ref="B15:C15"/>
    <mergeCell ref="B16:C16"/>
    <mergeCell ref="B17:C17"/>
    <mergeCell ref="B18:C18"/>
    <mergeCell ref="D7:I7"/>
    <mergeCell ref="B7:C7"/>
    <mergeCell ref="G45:I45"/>
    <mergeCell ref="B2:D2"/>
    <mergeCell ref="E2:I2"/>
    <mergeCell ref="B4:C4"/>
    <mergeCell ref="D4:E4"/>
    <mergeCell ref="G4:I4"/>
    <mergeCell ref="B5:C5"/>
    <mergeCell ref="D5:E5"/>
    <mergeCell ref="G5:I5"/>
    <mergeCell ref="B6:C6"/>
    <mergeCell ref="D6:E6"/>
    <mergeCell ref="B23:C23"/>
    <mergeCell ref="B9:I9"/>
    <mergeCell ref="B13:C13"/>
  </mergeCells>
  <conditionalFormatting sqref="D13:F27">
    <cfRule type="cellIs" dxfId="13" priority="1" operator="lessThan">
      <formula>0.7</formula>
    </cfRule>
    <cfRule type="cellIs" dxfId="12" priority="2" operator="between">
      <formula>0</formula>
      <formula>0.63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79E7-05FA-4DBA-A9A4-6DCD090475E9}">
  <sheetPr>
    <tabColor theme="9" tint="-0.499984740745262"/>
    <pageSetUpPr fitToPage="1"/>
  </sheetPr>
  <dimension ref="B2:M51"/>
  <sheetViews>
    <sheetView showGridLines="0" topLeftCell="A30" workbookViewId="0">
      <selection activeCell="J31" sqref="J31:M3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8.85546875" customWidth="1"/>
    <col min="12" max="21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577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578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579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8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>
      <c r="B11" s="98" t="s">
        <v>580</v>
      </c>
      <c r="C11" s="98" t="s">
        <v>218</v>
      </c>
      <c r="D11" s="98" t="s">
        <v>219</v>
      </c>
      <c r="E11" s="98" t="s">
        <v>220</v>
      </c>
      <c r="F11" s="98" t="s">
        <v>221</v>
      </c>
      <c r="G11" s="98" t="s">
        <v>222</v>
      </c>
      <c r="H11" s="98" t="s">
        <v>223</v>
      </c>
      <c r="I11" s="11"/>
      <c r="J11" s="11"/>
    </row>
    <row r="12" spans="2:10" ht="22.5" customHeight="1" thickBot="1" x14ac:dyDescent="0.25">
      <c r="B12" s="90" t="s">
        <v>238</v>
      </c>
      <c r="C12" s="90">
        <v>45</v>
      </c>
      <c r="D12" s="90">
        <v>42</v>
      </c>
      <c r="E12" s="104">
        <v>31</v>
      </c>
      <c r="F12" s="90">
        <v>48</v>
      </c>
      <c r="G12" s="87">
        <v>44</v>
      </c>
      <c r="H12" s="479">
        <v>50</v>
      </c>
      <c r="I12" s="11"/>
      <c r="J12" s="11"/>
    </row>
    <row r="13" spans="2:10" ht="22.5" customHeight="1" thickBot="1" x14ac:dyDescent="0.25">
      <c r="B13" s="90" t="s">
        <v>240</v>
      </c>
      <c r="C13" s="90">
        <v>7</v>
      </c>
      <c r="D13" s="90">
        <v>11</v>
      </c>
      <c r="E13" s="104">
        <v>14</v>
      </c>
      <c r="F13" s="90">
        <v>18</v>
      </c>
      <c r="G13" s="87">
        <v>15</v>
      </c>
      <c r="H13" s="479">
        <v>27</v>
      </c>
      <c r="I13" s="11"/>
      <c r="J13" s="11"/>
    </row>
    <row r="14" spans="2:10" ht="22.5" customHeight="1" thickBot="1" x14ac:dyDescent="0.25">
      <c r="B14" s="90" t="s">
        <v>241</v>
      </c>
      <c r="C14" s="90">
        <v>38</v>
      </c>
      <c r="D14" s="90">
        <v>43</v>
      </c>
      <c r="E14" s="104">
        <v>28</v>
      </c>
      <c r="F14" s="90">
        <v>40</v>
      </c>
      <c r="G14" s="87">
        <v>39</v>
      </c>
      <c r="H14" s="479">
        <v>46</v>
      </c>
      <c r="I14" s="11"/>
      <c r="J14" s="11"/>
    </row>
    <row r="15" spans="2:10" ht="22.5" customHeight="1" thickBot="1" x14ac:dyDescent="0.25">
      <c r="B15" s="90" t="s">
        <v>244</v>
      </c>
      <c r="C15" s="90">
        <v>45</v>
      </c>
      <c r="D15" s="90">
        <v>33</v>
      </c>
      <c r="E15" s="104">
        <v>29</v>
      </c>
      <c r="F15" s="90">
        <v>52</v>
      </c>
      <c r="G15" s="87">
        <v>40</v>
      </c>
      <c r="H15" s="479">
        <v>38</v>
      </c>
      <c r="I15" s="11"/>
      <c r="J15" s="11"/>
    </row>
    <row r="16" spans="2:10" ht="57.75" thickBot="1" x14ac:dyDescent="0.35">
      <c r="B16" s="274" t="s">
        <v>245</v>
      </c>
      <c r="C16" s="90" t="s">
        <v>231</v>
      </c>
      <c r="D16" s="90" t="s">
        <v>231</v>
      </c>
      <c r="E16" s="104" t="s">
        <v>231</v>
      </c>
      <c r="F16" s="90" t="s">
        <v>231</v>
      </c>
      <c r="G16" s="87">
        <v>15</v>
      </c>
      <c r="H16" s="479">
        <v>28</v>
      </c>
      <c r="I16" s="11"/>
      <c r="J16" s="11"/>
    </row>
    <row r="17" spans="2:13" ht="22.5" customHeight="1" thickBot="1" x14ac:dyDescent="0.25">
      <c r="B17" s="90" t="s">
        <v>246</v>
      </c>
      <c r="C17" s="90">
        <v>24</v>
      </c>
      <c r="D17" s="90">
        <v>32</v>
      </c>
      <c r="E17" s="104">
        <v>26</v>
      </c>
      <c r="F17" s="90">
        <v>33</v>
      </c>
      <c r="G17" s="87">
        <v>50</v>
      </c>
      <c r="H17" s="479">
        <v>38</v>
      </c>
      <c r="I17" s="11"/>
      <c r="J17" s="11"/>
    </row>
    <row r="18" spans="2:13" ht="22.5" customHeight="1" thickBot="1" x14ac:dyDescent="0.25">
      <c r="B18" s="90" t="s">
        <v>247</v>
      </c>
      <c r="C18" s="90">
        <v>40</v>
      </c>
      <c r="D18" s="90">
        <v>46</v>
      </c>
      <c r="E18" s="104">
        <v>18</v>
      </c>
      <c r="F18" s="90">
        <v>19</v>
      </c>
      <c r="G18" s="87">
        <v>19</v>
      </c>
      <c r="H18" s="479">
        <v>25</v>
      </c>
      <c r="I18" s="11"/>
      <c r="J18" s="11"/>
    </row>
    <row r="19" spans="2:13" ht="22.5" customHeight="1" thickBot="1" x14ac:dyDescent="0.25">
      <c r="B19" s="90" t="s">
        <v>248</v>
      </c>
      <c r="C19" s="90">
        <v>59</v>
      </c>
      <c r="D19" s="90">
        <v>42</v>
      </c>
      <c r="E19" s="104">
        <v>43</v>
      </c>
      <c r="F19" s="90">
        <v>39</v>
      </c>
      <c r="G19" s="87">
        <v>48</v>
      </c>
      <c r="H19" s="479">
        <v>68</v>
      </c>
      <c r="I19" s="11"/>
      <c r="J19" s="11"/>
    </row>
    <row r="20" spans="2:13" ht="22.5" customHeight="1" thickBot="1" x14ac:dyDescent="0.25">
      <c r="B20" s="90" t="s">
        <v>264</v>
      </c>
      <c r="C20" s="90">
        <v>28</v>
      </c>
      <c r="D20" s="90">
        <v>23</v>
      </c>
      <c r="E20" s="104">
        <v>34</v>
      </c>
      <c r="F20" s="90">
        <v>38</v>
      </c>
      <c r="G20" s="87">
        <v>24</v>
      </c>
      <c r="H20" s="479">
        <v>35</v>
      </c>
      <c r="I20" s="11"/>
      <c r="J20" s="11"/>
    </row>
    <row r="21" spans="2:13" ht="22.5" customHeight="1" thickBot="1" x14ac:dyDescent="0.25">
      <c r="B21" s="90" t="s">
        <v>279</v>
      </c>
      <c r="C21" s="90">
        <v>43</v>
      </c>
      <c r="D21" s="90">
        <v>42</v>
      </c>
      <c r="E21" s="104">
        <v>47</v>
      </c>
      <c r="F21" s="90">
        <v>38</v>
      </c>
      <c r="G21" s="87">
        <v>21</v>
      </c>
      <c r="H21" s="479">
        <v>19</v>
      </c>
      <c r="I21" s="11"/>
      <c r="J21" s="11"/>
    </row>
    <row r="22" spans="2:13" ht="22.5" customHeight="1" thickBot="1" x14ac:dyDescent="0.25">
      <c r="B22" s="90" t="s">
        <v>581</v>
      </c>
      <c r="C22" s="90">
        <v>6</v>
      </c>
      <c r="D22" s="90">
        <v>4</v>
      </c>
      <c r="E22" s="104">
        <v>4</v>
      </c>
      <c r="F22" s="90">
        <v>8</v>
      </c>
      <c r="G22" s="87">
        <v>15</v>
      </c>
      <c r="H22" s="213">
        <v>8</v>
      </c>
      <c r="I22" s="11"/>
      <c r="J22" s="11"/>
    </row>
    <row r="23" spans="2:13" ht="22.5" customHeight="1" thickBot="1" x14ac:dyDescent="0.25">
      <c r="B23" s="90" t="s">
        <v>275</v>
      </c>
      <c r="C23" s="480">
        <v>11</v>
      </c>
      <c r="D23" s="90">
        <v>5</v>
      </c>
      <c r="E23" s="104">
        <v>7</v>
      </c>
      <c r="F23" s="90">
        <v>9</v>
      </c>
      <c r="G23" s="481">
        <v>10</v>
      </c>
      <c r="H23" s="213">
        <v>6</v>
      </c>
      <c r="I23" s="11"/>
      <c r="J23" s="11"/>
    </row>
    <row r="24" spans="2:13" ht="22.5" customHeight="1" x14ac:dyDescent="0.2">
      <c r="B24" s="273" t="s">
        <v>582</v>
      </c>
      <c r="C24" s="220">
        <f>COUNTIF(C12:C23,"&gt;=10")</f>
        <v>9</v>
      </c>
      <c r="D24" s="220">
        <f t="shared" ref="D24:G24" si="0">COUNTIF(D12:D23,"&gt;=10")</f>
        <v>9</v>
      </c>
      <c r="E24" s="220">
        <f t="shared" si="0"/>
        <v>9</v>
      </c>
      <c r="F24" s="220">
        <f t="shared" si="0"/>
        <v>9</v>
      </c>
      <c r="G24" s="220">
        <f t="shared" si="0"/>
        <v>12</v>
      </c>
      <c r="H24" s="220">
        <f t="shared" ref="H24" si="1">COUNTIF(H12:H23,"&gt;=10")</f>
        <v>10</v>
      </c>
      <c r="I24" s="11"/>
      <c r="J24" s="11"/>
    </row>
    <row r="25" spans="2:13" ht="22.5" customHeight="1" x14ac:dyDescent="0.2">
      <c r="B25" s="273" t="s">
        <v>583</v>
      </c>
      <c r="C25" s="220">
        <f>COUNT(C12:C23)</f>
        <v>11</v>
      </c>
      <c r="D25" s="220">
        <f t="shared" ref="D25:G25" si="2">COUNT(D12:D23)</f>
        <v>11</v>
      </c>
      <c r="E25" s="220">
        <f t="shared" si="2"/>
        <v>11</v>
      </c>
      <c r="F25" s="220">
        <f t="shared" si="2"/>
        <v>11</v>
      </c>
      <c r="G25" s="220">
        <f t="shared" si="2"/>
        <v>12</v>
      </c>
      <c r="H25" s="220">
        <f t="shared" ref="H25" si="3">COUNT(H12:H23)</f>
        <v>12</v>
      </c>
      <c r="I25" s="11"/>
      <c r="J25" s="11"/>
    </row>
    <row r="26" spans="2:13" ht="22.5" customHeight="1" x14ac:dyDescent="0.2">
      <c r="B26" s="273" t="s">
        <v>323</v>
      </c>
      <c r="C26" s="220" t="e">
        <f>D5</f>
        <v>#REF!</v>
      </c>
      <c r="D26" s="220" t="e">
        <f>D5</f>
        <v>#REF!</v>
      </c>
      <c r="E26" s="220" t="e">
        <f>D5</f>
        <v>#REF!</v>
      </c>
      <c r="F26" s="220" t="e">
        <f>D5</f>
        <v>#REF!</v>
      </c>
      <c r="G26" s="220" t="e">
        <f>D5</f>
        <v>#REF!</v>
      </c>
      <c r="H26" s="220" t="e">
        <f>D5</f>
        <v>#REF!</v>
      </c>
      <c r="I26" s="11"/>
      <c r="J26" s="11"/>
    </row>
    <row r="27" spans="2:13" ht="22.5" customHeight="1" x14ac:dyDescent="0.2">
      <c r="B27" s="273" t="s">
        <v>234</v>
      </c>
      <c r="C27" s="187">
        <f>C24/C25</f>
        <v>0.81818181818181823</v>
      </c>
      <c r="D27" s="187">
        <f t="shared" ref="D27:G27" si="4">D24/D25</f>
        <v>0.81818181818181823</v>
      </c>
      <c r="E27" s="187">
        <f t="shared" si="4"/>
        <v>0.81818181818181823</v>
      </c>
      <c r="F27" s="187">
        <f t="shared" si="4"/>
        <v>0.81818181818181823</v>
      </c>
      <c r="G27" s="211">
        <f t="shared" si="4"/>
        <v>1</v>
      </c>
      <c r="H27" s="187">
        <f t="shared" ref="H27" si="5">H24/H25</f>
        <v>0.83333333333333337</v>
      </c>
      <c r="I27" s="11"/>
      <c r="J27" s="11"/>
    </row>
    <row r="28" spans="2:13" ht="22.5" customHeight="1" x14ac:dyDescent="0.2">
      <c r="B28" s="18"/>
      <c r="C28" s="11"/>
      <c r="D28" s="11"/>
      <c r="E28" s="11"/>
      <c r="F28" s="11"/>
      <c r="G28" s="11"/>
      <c r="H28" s="11"/>
      <c r="I28" s="11"/>
      <c r="J28" s="11"/>
    </row>
    <row r="29" spans="2:13" ht="22.5" customHeight="1" x14ac:dyDescent="0.2">
      <c r="B29" s="572" t="s">
        <v>227</v>
      </c>
      <c r="C29" s="846"/>
      <c r="D29" s="846"/>
      <c r="E29" s="847"/>
      <c r="F29" s="11"/>
      <c r="G29" s="11"/>
      <c r="H29" s="11"/>
      <c r="I29" s="11"/>
      <c r="J29" s="68" t="s">
        <v>228</v>
      </c>
      <c r="K29" s="142"/>
      <c r="L29" s="142"/>
      <c r="M29" s="141"/>
    </row>
    <row r="30" spans="2:13" ht="22.5" customHeight="1" x14ac:dyDescent="0.2">
      <c r="J30" s="7"/>
      <c r="K30" s="7"/>
      <c r="L30" s="7"/>
      <c r="M30" s="7"/>
    </row>
    <row r="31" spans="2:13" ht="15" customHeight="1" x14ac:dyDescent="0.2">
      <c r="B31" s="19"/>
      <c r="C31" s="19"/>
      <c r="D31" s="20"/>
      <c r="E31" s="20"/>
      <c r="F31" s="20"/>
      <c r="G31" s="16"/>
      <c r="I31" s="16"/>
      <c r="J31" s="559" t="s">
        <v>584</v>
      </c>
      <c r="K31" s="560"/>
      <c r="L31" s="560"/>
      <c r="M31" s="561"/>
    </row>
    <row r="32" spans="2:13" ht="15" customHeight="1" x14ac:dyDescent="0.2">
      <c r="B32" s="19"/>
      <c r="C32" s="19"/>
      <c r="D32" s="20"/>
      <c r="E32" s="20"/>
      <c r="F32" s="20"/>
      <c r="G32" s="16"/>
      <c r="I32" s="16"/>
      <c r="J32" s="562"/>
      <c r="K32" s="563"/>
      <c r="L32" s="563"/>
      <c r="M32" s="564"/>
    </row>
    <row r="33" spans="2:13" ht="15" customHeight="1" x14ac:dyDescent="0.2">
      <c r="B33" s="19"/>
      <c r="C33" s="19"/>
      <c r="D33" s="20"/>
      <c r="E33" s="20"/>
      <c r="F33" s="20"/>
      <c r="G33" s="16"/>
      <c r="I33" s="16"/>
      <c r="J33" s="562"/>
      <c r="K33" s="563"/>
      <c r="L33" s="563"/>
      <c r="M33" s="564"/>
    </row>
    <row r="34" spans="2:13" ht="15" customHeight="1" x14ac:dyDescent="0.2">
      <c r="B34" s="19"/>
      <c r="C34" s="19"/>
      <c r="D34" s="20"/>
      <c r="E34" s="20"/>
      <c r="F34" s="20"/>
      <c r="G34" s="16"/>
      <c r="I34" s="16"/>
      <c r="J34" s="562"/>
      <c r="K34" s="563"/>
      <c r="L34" s="563"/>
      <c r="M34" s="564"/>
    </row>
    <row r="35" spans="2:13" ht="15" customHeight="1" x14ac:dyDescent="0.2">
      <c r="B35" s="19"/>
      <c r="C35" s="19"/>
      <c r="D35" s="20"/>
      <c r="E35" s="20"/>
      <c r="F35" s="20"/>
      <c r="G35" s="16"/>
      <c r="I35" s="16"/>
      <c r="J35" s="562"/>
      <c r="K35" s="563"/>
      <c r="L35" s="563"/>
      <c r="M35" s="564"/>
    </row>
    <row r="36" spans="2:13" ht="15" customHeight="1" x14ac:dyDescent="0.2">
      <c r="B36" s="19"/>
      <c r="C36" s="19"/>
      <c r="D36" s="20"/>
      <c r="E36" s="20"/>
      <c r="F36" s="20"/>
      <c r="G36" s="16"/>
      <c r="I36" s="16"/>
      <c r="J36" s="562"/>
      <c r="K36" s="563"/>
      <c r="L36" s="563"/>
      <c r="M36" s="564"/>
    </row>
    <row r="37" spans="2:13" ht="15" customHeight="1" x14ac:dyDescent="0.2">
      <c r="B37" s="19"/>
      <c r="C37" s="19"/>
      <c r="D37" s="20"/>
      <c r="E37" s="20"/>
      <c r="F37" s="20"/>
      <c r="G37" s="16"/>
      <c r="I37" s="16"/>
      <c r="J37" s="562"/>
      <c r="K37" s="563"/>
      <c r="L37" s="563"/>
      <c r="M37" s="564"/>
    </row>
    <row r="38" spans="2:13" ht="22.5" customHeight="1" x14ac:dyDescent="0.25">
      <c r="B38" s="5"/>
      <c r="C38" s="5"/>
      <c r="D38" s="4"/>
      <c r="E38" s="4"/>
      <c r="F38" s="4"/>
      <c r="G38" s="4"/>
      <c r="H38" s="4"/>
      <c r="I38" s="4"/>
      <c r="J38" s="562"/>
      <c r="K38" s="563"/>
      <c r="L38" s="563"/>
      <c r="M38" s="564"/>
    </row>
    <row r="39" spans="2:13" ht="22.5" customHeight="1" x14ac:dyDescent="0.2">
      <c r="B39" s="848" t="s">
        <v>169</v>
      </c>
      <c r="C39" s="728"/>
      <c r="D39" s="728"/>
      <c r="E39" s="728"/>
      <c r="F39" s="6"/>
      <c r="J39" s="565"/>
      <c r="K39" s="566"/>
      <c r="L39" s="566"/>
      <c r="M39" s="567"/>
    </row>
    <row r="51" spans="8:10" ht="19.5" customHeight="1" x14ac:dyDescent="0.2">
      <c r="H51" s="568" t="s">
        <v>169</v>
      </c>
      <c r="I51" s="569"/>
      <c r="J51" s="569"/>
    </row>
  </sheetData>
  <sheetProtection sheet="1" formatCells="0" formatColumns="0" formatRows="0" insertColumns="0" insertRows="0" insertHyperlinks="0" deleteColumns="0" deleteRows="0" pivotTables="0"/>
  <mergeCells count="20">
    <mergeCell ref="B9:J9"/>
    <mergeCell ref="B39:E39"/>
    <mergeCell ref="J31:M39"/>
    <mergeCell ref="H51:J51"/>
    <mergeCell ref="B29:E29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C12:G23">
    <cfRule type="cellIs" dxfId="11" priority="1" operator="lessThan">
      <formula>10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9171-99ED-48AB-8051-CF3B27A4D5F9}">
  <sheetPr>
    <tabColor theme="9" tint="-0.499984740745262"/>
    <pageSetUpPr fitToPage="1"/>
  </sheetPr>
  <dimension ref="B2:N48"/>
  <sheetViews>
    <sheetView showGridLines="0" topLeftCell="A25" workbookViewId="0">
      <selection activeCell="I28" sqref="I28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235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105" t="s">
        <v>218</v>
      </c>
      <c r="E12" s="105" t="s">
        <v>219</v>
      </c>
      <c r="F12" s="105" t="s">
        <v>220</v>
      </c>
      <c r="G12" s="105" t="s">
        <v>221</v>
      </c>
      <c r="H12" s="105" t="s">
        <v>222</v>
      </c>
      <c r="I12" s="105" t="s">
        <v>223</v>
      </c>
    </row>
    <row r="13" spans="2:10" ht="41.25" customHeight="1" thickBot="1" x14ac:dyDescent="0.25">
      <c r="B13" s="667" t="s">
        <v>238</v>
      </c>
      <c r="C13" s="667"/>
      <c r="D13" s="90">
        <v>3.73</v>
      </c>
      <c r="E13" s="90" t="s">
        <v>311</v>
      </c>
      <c r="F13" s="104">
        <v>3.5</v>
      </c>
      <c r="G13" s="90">
        <v>4.4000000000000004</v>
      </c>
      <c r="H13" s="224">
        <v>3.12</v>
      </c>
      <c r="I13" s="482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90" t="s">
        <v>311</v>
      </c>
      <c r="E14" s="90" t="s">
        <v>311</v>
      </c>
      <c r="F14" s="104">
        <v>3.4</v>
      </c>
      <c r="G14" s="90">
        <v>4</v>
      </c>
      <c r="H14" s="87">
        <v>3.86</v>
      </c>
      <c r="I14" s="479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90" t="s">
        <v>311</v>
      </c>
      <c r="E15" s="90">
        <v>4</v>
      </c>
      <c r="F15" s="104">
        <v>4.5</v>
      </c>
      <c r="G15" s="90">
        <v>2.5</v>
      </c>
      <c r="H15" s="29">
        <v>4.67</v>
      </c>
      <c r="I15" s="166" t="s">
        <v>254</v>
      </c>
      <c r="J15" s="121"/>
    </row>
    <row r="16" spans="2:10" ht="41.25" customHeight="1" thickBot="1" x14ac:dyDescent="0.25">
      <c r="B16" s="667" t="s">
        <v>241</v>
      </c>
      <c r="C16" s="667"/>
      <c r="D16" s="90">
        <v>3.33</v>
      </c>
      <c r="E16" s="90">
        <v>3.52</v>
      </c>
      <c r="F16" s="104">
        <v>3.46</v>
      </c>
      <c r="G16" s="90">
        <v>2.5</v>
      </c>
      <c r="H16" s="29">
        <v>3.71</v>
      </c>
      <c r="I16" s="166" t="s">
        <v>254</v>
      </c>
      <c r="J16" s="121"/>
    </row>
    <row r="17" spans="2:9" ht="41.25" customHeight="1" thickBot="1" x14ac:dyDescent="0.25">
      <c r="B17" s="667" t="s">
        <v>330</v>
      </c>
      <c r="C17" s="667"/>
      <c r="D17" s="90" t="s">
        <v>311</v>
      </c>
      <c r="E17" s="90" t="s">
        <v>311</v>
      </c>
      <c r="F17" s="104" t="s">
        <v>311</v>
      </c>
      <c r="G17" s="90">
        <v>3</v>
      </c>
      <c r="H17" s="29">
        <v>4</v>
      </c>
      <c r="I17" s="166" t="s">
        <v>254</v>
      </c>
    </row>
    <row r="18" spans="2:9" ht="41.25" customHeight="1" thickBot="1" x14ac:dyDescent="0.25">
      <c r="B18" s="667" t="s">
        <v>331</v>
      </c>
      <c r="C18" s="667"/>
      <c r="D18" s="90">
        <v>3.25</v>
      </c>
      <c r="E18" s="90">
        <v>4.1399999999999997</v>
      </c>
      <c r="F18" s="104" t="s">
        <v>311</v>
      </c>
      <c r="G18" s="90">
        <v>3.25</v>
      </c>
      <c r="H18" s="87">
        <v>4.13</v>
      </c>
      <c r="I18" s="479" t="s">
        <v>254</v>
      </c>
    </row>
    <row r="19" spans="2:9" ht="41.25" customHeight="1" thickBot="1" x14ac:dyDescent="0.25">
      <c r="B19" s="667" t="s">
        <v>244</v>
      </c>
      <c r="C19" s="667"/>
      <c r="D19" s="90">
        <v>3.6</v>
      </c>
      <c r="E19" s="90" t="s">
        <v>311</v>
      </c>
      <c r="F19" s="104" t="s">
        <v>311</v>
      </c>
      <c r="G19" s="90" t="s">
        <v>311</v>
      </c>
      <c r="H19" s="87">
        <v>3.86</v>
      </c>
      <c r="I19" s="479" t="s">
        <v>254</v>
      </c>
    </row>
    <row r="20" spans="2:9" ht="41.25" customHeight="1" thickBot="1" x14ac:dyDescent="0.35">
      <c r="B20" s="849" t="s">
        <v>245</v>
      </c>
      <c r="C20" s="849"/>
      <c r="D20" s="90" t="s">
        <v>231</v>
      </c>
      <c r="E20" s="90" t="s">
        <v>231</v>
      </c>
      <c r="F20" s="104" t="s">
        <v>231</v>
      </c>
      <c r="G20" s="90" t="s">
        <v>231</v>
      </c>
      <c r="H20" s="87">
        <v>4.8600000000000003</v>
      </c>
      <c r="I20" s="479" t="s">
        <v>254</v>
      </c>
    </row>
    <row r="21" spans="2:9" ht="41.25" customHeight="1" thickBot="1" x14ac:dyDescent="0.25">
      <c r="B21" s="667" t="s">
        <v>246</v>
      </c>
      <c r="C21" s="667"/>
      <c r="D21" s="90">
        <v>4.0999999999999996</v>
      </c>
      <c r="E21" s="90">
        <v>3.57</v>
      </c>
      <c r="F21" s="104">
        <v>4</v>
      </c>
      <c r="G21" s="90">
        <v>1.6</v>
      </c>
      <c r="H21" s="29">
        <v>3.87</v>
      </c>
      <c r="I21" s="166" t="s">
        <v>254</v>
      </c>
    </row>
    <row r="22" spans="2:9" ht="41.25" customHeight="1" thickBot="1" x14ac:dyDescent="0.25">
      <c r="B22" s="667" t="s">
        <v>247</v>
      </c>
      <c r="C22" s="667"/>
      <c r="D22" s="90">
        <v>4.09</v>
      </c>
      <c r="E22" s="90">
        <v>4.4400000000000004</v>
      </c>
      <c r="F22" s="104">
        <v>4.4000000000000004</v>
      </c>
      <c r="G22" s="90">
        <v>2.5</v>
      </c>
      <c r="H22" s="29">
        <v>3.82</v>
      </c>
      <c r="I22" s="166" t="s">
        <v>254</v>
      </c>
    </row>
    <row r="23" spans="2:9" ht="41.25" customHeight="1" thickBot="1" x14ac:dyDescent="0.25">
      <c r="B23" s="667" t="s">
        <v>248</v>
      </c>
      <c r="C23" s="667"/>
      <c r="D23" s="90">
        <v>3.71</v>
      </c>
      <c r="E23" s="90">
        <v>3.7</v>
      </c>
      <c r="F23" s="104">
        <v>3.08</v>
      </c>
      <c r="G23" s="90">
        <v>3.75</v>
      </c>
      <c r="H23" s="87">
        <v>3.89</v>
      </c>
      <c r="I23" s="479" t="s">
        <v>254</v>
      </c>
    </row>
    <row r="24" spans="2:9" ht="41.25" customHeight="1" thickBot="1" x14ac:dyDescent="0.25">
      <c r="B24" s="667" t="s">
        <v>261</v>
      </c>
      <c r="C24" s="667"/>
      <c r="D24" s="90">
        <v>3</v>
      </c>
      <c r="E24" s="90" t="s">
        <v>311</v>
      </c>
      <c r="F24" s="104">
        <v>3.67</v>
      </c>
      <c r="G24" s="90" t="s">
        <v>311</v>
      </c>
      <c r="H24" s="87">
        <v>3.89</v>
      </c>
      <c r="I24" s="479" t="s">
        <v>254</v>
      </c>
    </row>
    <row r="25" spans="2:9" ht="41.25" customHeight="1" thickBot="1" x14ac:dyDescent="0.25">
      <c r="B25" s="667" t="s">
        <v>292</v>
      </c>
      <c r="C25" s="667"/>
      <c r="D25" s="90">
        <v>3</v>
      </c>
      <c r="E25" s="90" t="s">
        <v>311</v>
      </c>
      <c r="F25" s="104" t="s">
        <v>311</v>
      </c>
      <c r="G25" s="90" t="s">
        <v>311</v>
      </c>
      <c r="H25" s="87">
        <v>3.88</v>
      </c>
      <c r="I25" s="479" t="s">
        <v>254</v>
      </c>
    </row>
    <row r="26" spans="2:9" ht="41.25" customHeight="1" thickBot="1" x14ac:dyDescent="0.25">
      <c r="B26" s="667" t="s">
        <v>275</v>
      </c>
      <c r="C26" s="667"/>
      <c r="D26" s="90">
        <v>5</v>
      </c>
      <c r="E26" s="90" t="s">
        <v>311</v>
      </c>
      <c r="F26" s="104">
        <v>4.4400000000000004</v>
      </c>
      <c r="G26" s="90" t="s">
        <v>311</v>
      </c>
      <c r="H26" s="87">
        <v>3.6</v>
      </c>
      <c r="I26" s="479" t="s">
        <v>254</v>
      </c>
    </row>
    <row r="27" spans="2:9" ht="41.25" customHeight="1" thickBot="1" x14ac:dyDescent="0.25">
      <c r="B27" s="667" t="s">
        <v>264</v>
      </c>
      <c r="C27" s="667"/>
      <c r="D27" s="90">
        <v>4.5</v>
      </c>
      <c r="E27" s="90" t="s">
        <v>311</v>
      </c>
      <c r="F27" s="104" t="s">
        <v>311</v>
      </c>
      <c r="G27" s="90">
        <v>2</v>
      </c>
      <c r="H27" s="29">
        <v>4</v>
      </c>
      <c r="I27" s="166" t="s">
        <v>254</v>
      </c>
    </row>
    <row r="28" spans="2:9" ht="41.25" customHeight="1" thickBot="1" x14ac:dyDescent="0.25">
      <c r="B28" s="667" t="s">
        <v>277</v>
      </c>
      <c r="C28" s="667"/>
      <c r="D28" s="90">
        <v>2</v>
      </c>
      <c r="E28" s="90" t="s">
        <v>311</v>
      </c>
      <c r="F28" s="104" t="s">
        <v>311</v>
      </c>
      <c r="G28" s="90">
        <v>2</v>
      </c>
      <c r="H28" s="29">
        <v>4.33</v>
      </c>
      <c r="I28" s="166" t="s">
        <v>254</v>
      </c>
    </row>
    <row r="29" spans="2:9" ht="41.25" customHeight="1" thickBot="1" x14ac:dyDescent="0.25">
      <c r="B29" s="667" t="s">
        <v>265</v>
      </c>
      <c r="C29" s="667"/>
      <c r="D29" s="90">
        <v>4.5</v>
      </c>
      <c r="E29" s="90" t="s">
        <v>311</v>
      </c>
      <c r="F29" s="104" t="s">
        <v>311</v>
      </c>
      <c r="G29" s="90" t="s">
        <v>311</v>
      </c>
      <c r="H29" s="29" t="s">
        <v>311</v>
      </c>
      <c r="I29" s="166" t="s">
        <v>254</v>
      </c>
    </row>
    <row r="30" spans="2:9" ht="41.25" customHeight="1" thickBot="1" x14ac:dyDescent="0.25">
      <c r="B30" s="667" t="s">
        <v>279</v>
      </c>
      <c r="C30" s="667"/>
      <c r="D30" s="90">
        <v>3.5</v>
      </c>
      <c r="E30" s="90" t="s">
        <v>311</v>
      </c>
      <c r="F30" s="104" t="s">
        <v>311</v>
      </c>
      <c r="G30" s="90">
        <v>3</v>
      </c>
      <c r="H30" s="29">
        <v>3.85</v>
      </c>
      <c r="I30" s="166" t="s">
        <v>254</v>
      </c>
    </row>
    <row r="31" spans="2:9" ht="22.5" customHeight="1" x14ac:dyDescent="0.2">
      <c r="B31" s="785" t="e">
        <f>D5</f>
        <v>#REF!</v>
      </c>
      <c r="C31" s="785"/>
      <c r="D31" s="128">
        <f>COUNTIF(D13:D30,"&gt;=3,5")</f>
        <v>9</v>
      </c>
      <c r="E31" s="128">
        <f t="shared" ref="E31:H31" si="0">COUNTIF(E13:E30,"&gt;=3,5")</f>
        <v>6</v>
      </c>
      <c r="F31" s="128">
        <f t="shared" si="0"/>
        <v>6</v>
      </c>
      <c r="G31" s="128">
        <f t="shared" si="0"/>
        <v>3</v>
      </c>
      <c r="H31" s="128">
        <f t="shared" si="0"/>
        <v>16</v>
      </c>
      <c r="I31" s="128">
        <f t="shared" ref="I31" si="1">COUNTIF(I13:I30,"&gt;=3,5")</f>
        <v>0</v>
      </c>
    </row>
    <row r="32" spans="2:9" ht="22.5" customHeight="1" x14ac:dyDescent="0.2">
      <c r="B32" s="644" t="s">
        <v>268</v>
      </c>
      <c r="C32" s="644"/>
      <c r="D32" s="15">
        <f t="shared" ref="D32:I32" si="2">COUNT(D13:D30)</f>
        <v>14</v>
      </c>
      <c r="E32" s="15">
        <f t="shared" si="2"/>
        <v>6</v>
      </c>
      <c r="F32" s="15">
        <f t="shared" si="2"/>
        <v>9</v>
      </c>
      <c r="G32" s="15">
        <f t="shared" si="2"/>
        <v>12</v>
      </c>
      <c r="H32" s="15">
        <f t="shared" si="2"/>
        <v>17</v>
      </c>
      <c r="I32" s="15">
        <f t="shared" si="2"/>
        <v>0</v>
      </c>
    </row>
    <row r="33" spans="2:14" ht="22.5" customHeight="1" x14ac:dyDescent="0.2">
      <c r="B33" s="640" t="s">
        <v>225</v>
      </c>
      <c r="C33" s="706"/>
      <c r="D33" s="72" t="e">
        <f>$D5</f>
        <v>#REF!</v>
      </c>
      <c r="E33" s="72" t="e">
        <f t="shared" ref="E33:H33" si="3">$D5</f>
        <v>#REF!</v>
      </c>
      <c r="F33" s="72" t="e">
        <f t="shared" si="3"/>
        <v>#REF!</v>
      </c>
      <c r="G33" s="72" t="e">
        <f t="shared" si="3"/>
        <v>#REF!</v>
      </c>
      <c r="H33" s="72" t="e">
        <f t="shared" si="3"/>
        <v>#REF!</v>
      </c>
      <c r="I33" s="72" t="e">
        <f t="shared" ref="I33" si="4">$D5</f>
        <v>#REF!</v>
      </c>
    </row>
    <row r="34" spans="2:14" ht="22.5" customHeight="1" x14ac:dyDescent="0.2">
      <c r="B34" s="640" t="s">
        <v>226</v>
      </c>
      <c r="C34" s="706"/>
      <c r="D34" s="46">
        <f t="shared" ref="D34:I34" si="5">D31/D32</f>
        <v>0.6428571428571429</v>
      </c>
      <c r="E34" s="46">
        <f t="shared" si="5"/>
        <v>1</v>
      </c>
      <c r="F34" s="46">
        <f t="shared" si="5"/>
        <v>0.66666666666666663</v>
      </c>
      <c r="G34" s="502">
        <f t="shared" si="5"/>
        <v>0.25</v>
      </c>
      <c r="H34" s="46">
        <f t="shared" si="5"/>
        <v>0.94117647058823528</v>
      </c>
      <c r="I34" s="46" t="e">
        <f t="shared" si="5"/>
        <v>#DIV/0!</v>
      </c>
      <c r="K34" s="68" t="s">
        <v>228</v>
      </c>
      <c r="L34" s="142"/>
      <c r="M34" s="142"/>
      <c r="N34" s="141"/>
    </row>
    <row r="35" spans="2:14" ht="22.5" customHeight="1" x14ac:dyDescent="0.25">
      <c r="B35" s="5"/>
      <c r="C35" s="5"/>
      <c r="D35" s="4"/>
      <c r="E35" s="4"/>
      <c r="F35" s="4"/>
      <c r="G35" s="4"/>
      <c r="H35" s="4"/>
      <c r="I35" s="4"/>
      <c r="K35" s="7"/>
      <c r="L35" s="7"/>
      <c r="M35" s="7"/>
      <c r="N35" s="7"/>
    </row>
    <row r="36" spans="2:14" ht="22.5" customHeight="1" x14ac:dyDescent="0.2">
      <c r="B36" s="572" t="s">
        <v>227</v>
      </c>
      <c r="C36" s="573"/>
      <c r="D36" s="573"/>
      <c r="E36" s="574"/>
      <c r="F36" s="6"/>
      <c r="K36" s="721" t="s">
        <v>585</v>
      </c>
      <c r="L36" s="722"/>
      <c r="M36" s="722"/>
      <c r="N36" s="723"/>
    </row>
    <row r="37" spans="2:14" ht="22.5" customHeight="1" x14ac:dyDescent="0.2">
      <c r="B37" s="6"/>
      <c r="C37" s="6"/>
      <c r="D37" s="6"/>
      <c r="E37" s="6"/>
      <c r="F37" s="6"/>
      <c r="K37" s="724"/>
      <c r="L37" s="725"/>
      <c r="M37" s="725"/>
      <c r="N37" s="726"/>
    </row>
    <row r="38" spans="2:14" ht="6" customHeight="1" x14ac:dyDescent="0.2">
      <c r="B38" s="6"/>
      <c r="C38" s="6"/>
      <c r="D38" s="6"/>
      <c r="E38" s="6"/>
      <c r="F38" s="6"/>
      <c r="K38" s="724"/>
      <c r="L38" s="725"/>
      <c r="M38" s="725"/>
      <c r="N38" s="726"/>
    </row>
    <row r="39" spans="2:14" ht="19.5" customHeight="1" x14ac:dyDescent="0.2">
      <c r="B39" s="6"/>
      <c r="C39" s="6"/>
      <c r="D39" s="6"/>
      <c r="E39" s="6"/>
      <c r="F39" s="6"/>
      <c r="K39" s="724"/>
      <c r="L39" s="725"/>
      <c r="M39" s="725"/>
      <c r="N39" s="726"/>
    </row>
    <row r="40" spans="2:14" ht="19.5" customHeight="1" x14ac:dyDescent="0.2">
      <c r="B40" s="6"/>
      <c r="C40" s="6"/>
      <c r="D40" s="6"/>
      <c r="E40" s="6"/>
      <c r="F40" s="6"/>
      <c r="K40" s="724"/>
      <c r="L40" s="725"/>
      <c r="M40" s="725"/>
      <c r="N40" s="726"/>
    </row>
    <row r="41" spans="2:14" ht="19.5" customHeight="1" x14ac:dyDescent="0.2">
      <c r="B41" s="6"/>
      <c r="C41" s="6"/>
      <c r="D41" s="6"/>
      <c r="E41" s="6"/>
      <c r="F41" s="6"/>
      <c r="K41" s="724"/>
      <c r="L41" s="725"/>
      <c r="M41" s="725"/>
      <c r="N41" s="726"/>
    </row>
    <row r="42" spans="2:14" ht="19.5" customHeight="1" x14ac:dyDescent="0.2">
      <c r="B42" s="6"/>
      <c r="C42" s="6"/>
      <c r="D42" s="6"/>
      <c r="E42" s="6"/>
      <c r="F42" s="6"/>
      <c r="K42" s="724"/>
      <c r="L42" s="725"/>
      <c r="M42" s="725"/>
      <c r="N42" s="726"/>
    </row>
    <row r="43" spans="2:14" ht="19.5" customHeight="1" x14ac:dyDescent="0.2">
      <c r="B43" s="6"/>
      <c r="C43" s="6"/>
      <c r="D43" s="6"/>
      <c r="E43" s="6"/>
      <c r="F43" s="6"/>
      <c r="K43" s="724"/>
      <c r="L43" s="725"/>
      <c r="M43" s="725"/>
      <c r="N43" s="726"/>
    </row>
    <row r="44" spans="2:14" ht="19.5" customHeight="1" x14ac:dyDescent="0.2">
      <c r="B44" s="6"/>
      <c r="C44" s="6"/>
      <c r="D44" s="6"/>
      <c r="E44" s="6"/>
      <c r="F44" s="6"/>
      <c r="K44" s="771"/>
      <c r="L44" s="772"/>
      <c r="M44" s="772"/>
      <c r="N44" s="773"/>
    </row>
    <row r="45" spans="2:14" ht="19.5" customHeight="1" x14ac:dyDescent="0.2">
      <c r="B45" s="6"/>
      <c r="C45" s="6"/>
      <c r="D45" s="6"/>
      <c r="E45" s="6"/>
      <c r="F45" s="6"/>
    </row>
    <row r="46" spans="2:14" ht="19.5" customHeight="1" x14ac:dyDescent="0.2">
      <c r="B46" s="6"/>
      <c r="C46" s="6"/>
      <c r="D46" s="6"/>
      <c r="E46" s="6"/>
      <c r="F46" s="6"/>
    </row>
    <row r="47" spans="2:14" ht="19.5" customHeight="1" x14ac:dyDescent="0.2"/>
    <row r="48" spans="2:14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1">
    <mergeCell ref="K36:N44"/>
    <mergeCell ref="H48:J48"/>
    <mergeCell ref="B31:C31"/>
    <mergeCell ref="B32:C32"/>
    <mergeCell ref="B33:C33"/>
    <mergeCell ref="B34:C34"/>
    <mergeCell ref="B36:E36"/>
    <mergeCell ref="B30:C30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20:C20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30">
    <cfRule type="cellIs" dxfId="10" priority="1" operator="lessThan">
      <formula>3.5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998F-6C66-4690-A776-1BF0D73A6802}">
  <sheetPr>
    <tabColor theme="9" tint="-0.499984740745262"/>
    <pageSetUpPr fitToPage="1"/>
  </sheetPr>
  <dimension ref="B2:N30"/>
  <sheetViews>
    <sheetView showGridLines="0" topLeftCell="A8" workbookViewId="0">
      <selection activeCell="H14" sqref="H14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813" t="s">
        <v>230</v>
      </c>
      <c r="I5" s="837"/>
      <c r="J5" s="814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2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12"/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219</v>
      </c>
      <c r="E12" s="89" t="s">
        <v>220</v>
      </c>
      <c r="F12" s="89" t="s">
        <v>221</v>
      </c>
      <c r="G12" s="89" t="s">
        <v>222</v>
      </c>
      <c r="H12" s="89" t="s">
        <v>223</v>
      </c>
      <c r="I12" s="22"/>
    </row>
    <row r="13" spans="2:10" ht="41.25" customHeight="1" x14ac:dyDescent="0.2">
      <c r="B13" s="667" t="s">
        <v>586</v>
      </c>
      <c r="C13" s="730"/>
      <c r="D13" s="266" t="s">
        <v>231</v>
      </c>
      <c r="E13" s="266">
        <v>153</v>
      </c>
      <c r="F13" s="266">
        <v>159</v>
      </c>
      <c r="G13" s="266">
        <v>188</v>
      </c>
      <c r="H13" s="267">
        <v>233</v>
      </c>
      <c r="I13" s="16"/>
      <c r="J13" s="121"/>
    </row>
    <row r="14" spans="2:10" ht="22.5" customHeight="1" x14ac:dyDescent="0.2">
      <c r="B14" s="644" t="s">
        <v>587</v>
      </c>
      <c r="C14" s="644"/>
      <c r="D14" s="48">
        <f>COUNT(D13:D13)</f>
        <v>0</v>
      </c>
      <c r="E14" s="48" t="s">
        <v>232</v>
      </c>
      <c r="F14" s="367">
        <v>6</v>
      </c>
      <c r="G14" s="367">
        <v>29</v>
      </c>
      <c r="H14" s="367">
        <v>45</v>
      </c>
    </row>
    <row r="15" spans="2:10" ht="22.5" customHeight="1" x14ac:dyDescent="0.2">
      <c r="B15" s="43" t="s">
        <v>225</v>
      </c>
      <c r="C15" s="10" t="e">
        <f>D5</f>
        <v>#REF!</v>
      </c>
      <c r="D15" s="348" t="s">
        <v>514</v>
      </c>
      <c r="E15" s="348">
        <v>10</v>
      </c>
      <c r="F15" s="348">
        <v>10</v>
      </c>
      <c r="G15" s="348">
        <v>10</v>
      </c>
      <c r="H15" s="348">
        <v>10</v>
      </c>
      <c r="I15" s="23"/>
    </row>
    <row r="16" spans="2:10" ht="22.5" customHeight="1" x14ac:dyDescent="0.2">
      <c r="B16" s="640" t="s">
        <v>226</v>
      </c>
      <c r="C16" s="706"/>
      <c r="D16" s="50" t="s">
        <v>231</v>
      </c>
      <c r="E16" s="50" t="s">
        <v>231</v>
      </c>
      <c r="F16" s="50">
        <f>F14/F15</f>
        <v>0.6</v>
      </c>
      <c r="G16" s="50">
        <f>G14/G15</f>
        <v>2.9</v>
      </c>
      <c r="H16" s="50">
        <f>H14/H15</f>
        <v>4.5</v>
      </c>
      <c r="I16" s="24"/>
    </row>
    <row r="18" spans="2:14" ht="22.5" customHeight="1" x14ac:dyDescent="0.2">
      <c r="B18" s="572" t="s">
        <v>227</v>
      </c>
      <c r="C18" s="573"/>
      <c r="D18" s="573"/>
      <c r="E18" s="574"/>
      <c r="F18" s="6"/>
      <c r="K18" s="572" t="s">
        <v>228</v>
      </c>
      <c r="L18" s="573"/>
      <c r="M18" s="573"/>
      <c r="N18" s="574"/>
    </row>
    <row r="19" spans="2:14" ht="22.5" customHeight="1" x14ac:dyDescent="0.2">
      <c r="B19" s="6"/>
      <c r="C19" s="6"/>
      <c r="D19" s="6"/>
      <c r="E19" s="6"/>
      <c r="F19" s="6"/>
      <c r="K19" s="7"/>
      <c r="L19" s="7"/>
      <c r="M19" s="7"/>
      <c r="N19" s="7"/>
    </row>
    <row r="20" spans="2:14" ht="6" customHeight="1" x14ac:dyDescent="0.2">
      <c r="B20" s="6"/>
      <c r="C20" s="6"/>
      <c r="D20" s="6"/>
      <c r="E20" s="6"/>
      <c r="F20" s="6"/>
      <c r="K20" s="610" t="s">
        <v>169</v>
      </c>
      <c r="L20" s="560"/>
      <c r="M20" s="560"/>
      <c r="N20" s="561"/>
    </row>
    <row r="21" spans="2:14" ht="19.5" customHeight="1" x14ac:dyDescent="0.2">
      <c r="B21" s="6"/>
      <c r="C21" s="6"/>
      <c r="D21" s="6"/>
      <c r="E21" s="6"/>
      <c r="F21" s="6"/>
      <c r="K21" s="562"/>
      <c r="L21" s="563"/>
      <c r="M21" s="563"/>
      <c r="N21" s="564"/>
    </row>
    <row r="22" spans="2:14" ht="19.5" customHeight="1" x14ac:dyDescent="0.2">
      <c r="B22" s="6"/>
      <c r="C22" s="6"/>
      <c r="D22" s="6"/>
      <c r="E22" s="6"/>
      <c r="F22" s="6"/>
      <c r="K22" s="562"/>
      <c r="L22" s="563"/>
      <c r="M22" s="563"/>
      <c r="N22" s="564"/>
    </row>
    <row r="23" spans="2:14" ht="19.5" customHeight="1" x14ac:dyDescent="0.2">
      <c r="B23" s="6"/>
      <c r="C23" s="6"/>
      <c r="D23" s="6"/>
      <c r="E23" s="6"/>
      <c r="F23" s="6"/>
      <c r="K23" s="562"/>
      <c r="L23" s="563"/>
      <c r="M23" s="563"/>
      <c r="N23" s="564"/>
    </row>
    <row r="24" spans="2:14" ht="19.5" customHeight="1" x14ac:dyDescent="0.2">
      <c r="B24" s="6"/>
      <c r="C24" s="6"/>
      <c r="D24" s="6"/>
      <c r="E24" s="6"/>
      <c r="F24" s="6"/>
      <c r="K24" s="562"/>
      <c r="L24" s="563"/>
      <c r="M24" s="563"/>
      <c r="N24" s="564"/>
    </row>
    <row r="25" spans="2:14" ht="19.5" customHeight="1" x14ac:dyDescent="0.2">
      <c r="B25" s="6"/>
      <c r="C25" s="6"/>
      <c r="D25" s="6"/>
      <c r="E25" s="6"/>
      <c r="F25" s="6"/>
      <c r="K25" s="562"/>
      <c r="L25" s="563"/>
      <c r="M25" s="563"/>
      <c r="N25" s="564"/>
    </row>
    <row r="26" spans="2:14" ht="19.5" customHeight="1" x14ac:dyDescent="0.2">
      <c r="B26" s="6"/>
      <c r="C26" s="6"/>
      <c r="D26" s="6"/>
      <c r="E26" s="6"/>
      <c r="F26" s="6"/>
      <c r="K26" s="562"/>
      <c r="L26" s="563"/>
      <c r="M26" s="563"/>
      <c r="N26" s="564"/>
    </row>
    <row r="27" spans="2:14" ht="19.5" customHeight="1" x14ac:dyDescent="0.2">
      <c r="B27" s="6"/>
      <c r="C27" s="6"/>
      <c r="D27" s="6"/>
      <c r="E27" s="6"/>
      <c r="F27" s="6"/>
      <c r="K27" s="562"/>
      <c r="L27" s="563"/>
      <c r="M27" s="563"/>
      <c r="N27" s="564"/>
    </row>
    <row r="28" spans="2:14" ht="19.5" customHeight="1" x14ac:dyDescent="0.2">
      <c r="B28" s="6"/>
      <c r="C28" s="6"/>
      <c r="D28" s="6"/>
      <c r="E28" s="6"/>
      <c r="F28" s="6"/>
      <c r="K28" s="565"/>
      <c r="L28" s="566"/>
      <c r="M28" s="566"/>
      <c r="N28" s="567"/>
    </row>
    <row r="29" spans="2:14" ht="19.5" customHeight="1" x14ac:dyDescent="0.2"/>
    <row r="30" spans="2:14" ht="19.5" customHeight="1" x14ac:dyDescent="0.2">
      <c r="H30" s="568" t="s">
        <v>169</v>
      </c>
      <c r="I30" s="569"/>
      <c r="J30" s="569"/>
    </row>
  </sheetData>
  <sheetProtection sheet="1" formatCells="0" formatColumns="0" formatRows="0" insertColumns="0" insertRows="0" insertHyperlinks="0" deleteColumns="0" deleteRows="0" pivotTables="0"/>
  <mergeCells count="23">
    <mergeCell ref="B16:C16"/>
    <mergeCell ref="B18:E18"/>
    <mergeCell ref="K18:N18"/>
    <mergeCell ref="K20:N28"/>
    <mergeCell ref="H30:J30"/>
    <mergeCell ref="B14:C14"/>
    <mergeCell ref="B5:C5"/>
    <mergeCell ref="D5:E5"/>
    <mergeCell ref="F5:G5"/>
    <mergeCell ref="H5:J5"/>
    <mergeCell ref="B6:C6"/>
    <mergeCell ref="D6:E6"/>
    <mergeCell ref="F6:G6"/>
    <mergeCell ref="B7:C7"/>
    <mergeCell ref="D7:J7"/>
    <mergeCell ref="B9:J9"/>
    <mergeCell ref="B13:C13"/>
    <mergeCell ref="B2:D2"/>
    <mergeCell ref="E2:J2"/>
    <mergeCell ref="B4:C4"/>
    <mergeCell ref="D4:E4"/>
    <mergeCell ref="F4:G4"/>
    <mergeCell ref="H4:J4"/>
  </mergeCells>
  <conditionalFormatting sqref="D13:H13">
    <cfRule type="cellIs" dxfId="9" priority="1" operator="lessThan">
      <formula>0.55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B034-5802-4330-9618-CB0512CABB00}">
  <sheetPr>
    <tabColor theme="9" tint="-0.499984740745262"/>
    <pageSetUpPr fitToPage="1"/>
  </sheetPr>
  <dimension ref="B2:J48"/>
  <sheetViews>
    <sheetView showGridLines="0" topLeftCell="A70" workbookViewId="0">
      <selection activeCell="G81" sqref="G81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756" t="e">
        <f>#REF!</f>
        <v>#REF!</v>
      </c>
      <c r="E5" s="757"/>
      <c r="F5" s="687" t="s">
        <v>211</v>
      </c>
      <c r="G5" s="574"/>
      <c r="H5" s="745" t="s">
        <v>588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</row>
    <row r="13" spans="2:10" ht="41.25" customHeight="1" x14ac:dyDescent="0.2">
      <c r="B13" s="667" t="s">
        <v>238</v>
      </c>
      <c r="C13" s="730"/>
      <c r="D13" s="225">
        <f>(15.27%+29.87%)/2</f>
        <v>0.22570000000000001</v>
      </c>
      <c r="E13" s="225">
        <f>(15.4%+18%)/2</f>
        <v>0.16699999999999998</v>
      </c>
      <c r="F13" s="225">
        <f>(8.8%+10.4%)/2</f>
        <v>9.6000000000000002E-2</v>
      </c>
      <c r="G13" s="225">
        <f>(32.4% + 16.5%)/2</f>
        <v>0.2445</v>
      </c>
      <c r="H13" s="225">
        <v>0.2235</v>
      </c>
      <c r="I13" s="484">
        <v>0.38450000000000001</v>
      </c>
      <c r="J13" s="121"/>
    </row>
    <row r="14" spans="2:10" ht="41.25" customHeight="1" x14ac:dyDescent="0.2">
      <c r="B14" s="667" t="s">
        <v>337</v>
      </c>
      <c r="C14" s="730"/>
      <c r="D14" s="40" t="s">
        <v>231</v>
      </c>
      <c r="E14" s="227" t="s">
        <v>231</v>
      </c>
      <c r="F14" s="227" t="s">
        <v>231</v>
      </c>
      <c r="G14" s="225">
        <f>(31.5%+15.5%)/2</f>
        <v>0.23499999999999999</v>
      </c>
      <c r="H14" s="225">
        <v>0.2195</v>
      </c>
      <c r="I14" s="484">
        <v>0.35649999999999998</v>
      </c>
      <c r="J14" s="121"/>
    </row>
    <row r="15" spans="2:10" ht="41.25" customHeight="1" x14ac:dyDescent="0.2">
      <c r="B15" s="667" t="s">
        <v>287</v>
      </c>
      <c r="C15" s="730"/>
      <c r="D15" s="225">
        <f>(26.5%+14.7%)/2</f>
        <v>0.20600000000000002</v>
      </c>
      <c r="E15" s="225">
        <f>(14.6%+24.5%)/2</f>
        <v>0.19550000000000001</v>
      </c>
      <c r="F15" s="225">
        <f>(10.3%+13.5%)/2</f>
        <v>0.11900000000000001</v>
      </c>
      <c r="G15" s="225">
        <f>(43.2%+11.9%)/2</f>
        <v>0.27550000000000002</v>
      </c>
      <c r="H15" s="225">
        <v>0.17949999999999999</v>
      </c>
      <c r="I15" s="225">
        <v>0.32250000000000001</v>
      </c>
      <c r="J15" s="121"/>
    </row>
    <row r="16" spans="2:10" ht="41.25" customHeight="1" x14ac:dyDescent="0.2">
      <c r="B16" s="667" t="s">
        <v>241</v>
      </c>
      <c r="C16" s="730"/>
      <c r="D16" s="225">
        <f>(48.8%+31.7%)/2</f>
        <v>0.40249999999999997</v>
      </c>
      <c r="E16" s="225">
        <f>(25.9%+16.9%)/2</f>
        <v>0.214</v>
      </c>
      <c r="F16" s="225">
        <f>(15.7%+6.6%)/2</f>
        <v>0.1115</v>
      </c>
      <c r="G16" s="225">
        <f>(38.5%+30.7%)/2</f>
        <v>0.34599999999999997</v>
      </c>
      <c r="H16" s="225">
        <v>0.32250000000000001</v>
      </c>
      <c r="I16" s="225">
        <v>0.41949999999999998</v>
      </c>
      <c r="J16" s="121"/>
    </row>
    <row r="17" spans="2:9" ht="41.25" customHeight="1" x14ac:dyDescent="0.2">
      <c r="B17" s="667" t="s">
        <v>330</v>
      </c>
      <c r="C17" s="730"/>
      <c r="D17" s="225">
        <f>(33.3%+35%)/2</f>
        <v>0.34149999999999997</v>
      </c>
      <c r="E17" s="225">
        <f>(15.5%+27.4%)/2</f>
        <v>0.21449999999999997</v>
      </c>
      <c r="F17" s="225">
        <f>(5.4%+18.2%)/2</f>
        <v>0.11799999999999999</v>
      </c>
      <c r="G17" s="225">
        <f>(40.9%+38.1%)/2</f>
        <v>0.39500000000000002</v>
      </c>
      <c r="H17" s="225">
        <v>0.41949999999999998</v>
      </c>
      <c r="I17" s="484">
        <v>0.36349999999999999</v>
      </c>
    </row>
    <row r="18" spans="2:9" ht="41.25" customHeight="1" x14ac:dyDescent="0.2">
      <c r="B18" s="667" t="s">
        <v>331</v>
      </c>
      <c r="C18" s="730"/>
      <c r="D18" s="225">
        <f>(64.1%+43.1%)/2</f>
        <v>0.53599999999999992</v>
      </c>
      <c r="E18" s="225">
        <f>(15.7%+20.4%)/2</f>
        <v>0.18049999999999999</v>
      </c>
      <c r="F18" s="225">
        <f>(9.7%+13.5%)/2</f>
        <v>0.11599999999999999</v>
      </c>
      <c r="G18" s="225">
        <f>(57.8%+37.3%)/2</f>
        <v>0.47549999999999998</v>
      </c>
      <c r="H18" s="225">
        <v>0.48599999999999999</v>
      </c>
      <c r="I18" s="225">
        <v>0.46949999999999997</v>
      </c>
    </row>
    <row r="19" spans="2:9" ht="41.25" customHeight="1" x14ac:dyDescent="0.2">
      <c r="B19" s="667" t="s">
        <v>244</v>
      </c>
      <c r="C19" s="730"/>
      <c r="D19" s="225">
        <f>(17.5%+20%)/2</f>
        <v>0.1875</v>
      </c>
      <c r="E19" s="225">
        <f>(16.4%+27.1%)/2</f>
        <v>0.2175</v>
      </c>
      <c r="F19" s="225">
        <f>(7.3%+1.9%)/2</f>
        <v>4.5999999999999999E-2</v>
      </c>
      <c r="G19" s="225">
        <f>(33.1%+ 11.2%)/2</f>
        <v>0.2215</v>
      </c>
      <c r="H19" s="225">
        <v>0.22950000000000001</v>
      </c>
      <c r="I19" s="225">
        <v>0.27</v>
      </c>
    </row>
    <row r="20" spans="2:9" ht="41.25" customHeight="1" x14ac:dyDescent="0.2">
      <c r="B20" s="730" t="s">
        <v>344</v>
      </c>
      <c r="C20" s="850"/>
      <c r="D20" s="225">
        <f>(27.5%+58.2%)/2</f>
        <v>0.42850000000000005</v>
      </c>
      <c r="E20" s="225" t="s">
        <v>589</v>
      </c>
      <c r="F20" s="225" t="s">
        <v>589</v>
      </c>
      <c r="G20" s="225">
        <f>(67.2%+ 39.6%)/2</f>
        <v>0.53400000000000003</v>
      </c>
      <c r="H20" s="225">
        <v>0.40050000000000002</v>
      </c>
      <c r="I20" s="225">
        <v>0.42449999999999999</v>
      </c>
    </row>
    <row r="21" spans="2:9" ht="41.25" customHeight="1" x14ac:dyDescent="0.2">
      <c r="B21" s="667" t="s">
        <v>246</v>
      </c>
      <c r="C21" s="730"/>
      <c r="D21" s="225">
        <f>(27.8%+27.7%)/2</f>
        <v>0.27749999999999997</v>
      </c>
      <c r="E21" s="225">
        <f>(15.5%+25.2%)/2</f>
        <v>0.20350000000000001</v>
      </c>
      <c r="F21" s="225">
        <f>(8.5%+13.5%)/2</f>
        <v>0.11000000000000001</v>
      </c>
      <c r="G21" s="225">
        <f>(39.6%+ 39.5%)/2</f>
        <v>0.39550000000000002</v>
      </c>
      <c r="H21" s="225">
        <v>0.39400000000000002</v>
      </c>
      <c r="I21" s="225">
        <v>0.32950000000000002</v>
      </c>
    </row>
    <row r="22" spans="2:9" ht="41.25" customHeight="1" x14ac:dyDescent="0.2">
      <c r="B22" s="667" t="s">
        <v>247</v>
      </c>
      <c r="C22" s="730"/>
      <c r="D22" s="225">
        <f>(27.5%+19.3%)/2</f>
        <v>0.23400000000000001</v>
      </c>
      <c r="E22" s="225">
        <f>(14%+14%)/2</f>
        <v>0.14000000000000001</v>
      </c>
      <c r="F22" s="225">
        <f>(9.8%+2.4%)/2</f>
        <v>6.0999999999999999E-2</v>
      </c>
      <c r="G22" s="225">
        <f>(29.4%+22.6%)/2</f>
        <v>0.26</v>
      </c>
      <c r="H22" s="225">
        <v>0.17749999999999999</v>
      </c>
      <c r="I22" s="225">
        <v>0.24099999999999999</v>
      </c>
    </row>
    <row r="23" spans="2:9" ht="41.25" customHeight="1" x14ac:dyDescent="0.2">
      <c r="B23" s="667" t="s">
        <v>248</v>
      </c>
      <c r="C23" s="730"/>
      <c r="D23" s="225">
        <f>(35%+29.8%)/2</f>
        <v>0.32399999999999995</v>
      </c>
      <c r="E23" s="225">
        <f>(13.1%+14.3%)/2</f>
        <v>0.13700000000000001</v>
      </c>
      <c r="F23" s="225">
        <f>(4.2%+8.1%)/2</f>
        <v>6.1499999999999999E-2</v>
      </c>
      <c r="G23" s="225">
        <f>(27.3%+ 8.2%)/2</f>
        <v>0.17749999999999999</v>
      </c>
      <c r="H23" s="225">
        <v>0.19850000000000001</v>
      </c>
      <c r="I23" s="225">
        <v>0.24149999999999999</v>
      </c>
    </row>
    <row r="24" spans="2:9" ht="41.25" customHeight="1" x14ac:dyDescent="0.2">
      <c r="B24" s="667" t="s">
        <v>261</v>
      </c>
      <c r="C24" s="730"/>
      <c r="D24" s="225">
        <f>(7.7%+12%)/2</f>
        <v>9.8500000000000004E-2</v>
      </c>
      <c r="E24" s="225">
        <f>(24.4%+15.6%)/2</f>
        <v>0.2</v>
      </c>
      <c r="F24" s="225">
        <v>0.1111</v>
      </c>
      <c r="G24" s="225">
        <f>(15.2%+1.7%)/2</f>
        <v>8.4499999999999992E-2</v>
      </c>
      <c r="H24" s="225">
        <v>0.10299999999999999</v>
      </c>
      <c r="I24" s="225">
        <v>0.17050000000000001</v>
      </c>
    </row>
    <row r="25" spans="2:9" ht="41.25" customHeight="1" x14ac:dyDescent="0.2">
      <c r="B25" s="667" t="s">
        <v>292</v>
      </c>
      <c r="C25" s="730"/>
      <c r="D25" s="225">
        <f>(14.7%+8.2%)/2</f>
        <v>0.11449999999999999</v>
      </c>
      <c r="E25" s="225">
        <f>(13.5%+37.8%)/2</f>
        <v>0.25649999999999995</v>
      </c>
      <c r="F25" s="225">
        <v>6.6699999999999995E-2</v>
      </c>
      <c r="G25" s="225">
        <f>(18.7%+25.7%)/2</f>
        <v>0.222</v>
      </c>
      <c r="H25" s="225">
        <v>0.13300000000000001</v>
      </c>
      <c r="I25" s="225">
        <v>0.17199999999999999</v>
      </c>
    </row>
    <row r="26" spans="2:9" ht="41.25" customHeight="1" x14ac:dyDescent="0.2">
      <c r="B26" s="667" t="s">
        <v>275</v>
      </c>
      <c r="C26" s="730"/>
      <c r="D26" s="225">
        <f>(11.7%%+32%)/2</f>
        <v>0.16058500000000001</v>
      </c>
      <c r="E26" s="225">
        <f>(33.3%+30%)/2</f>
        <v>0.3165</v>
      </c>
      <c r="F26" s="225">
        <v>0.5625</v>
      </c>
      <c r="G26" s="225">
        <f>(83.3%+85.7%)/2</f>
        <v>0.84499999999999997</v>
      </c>
      <c r="H26" s="225">
        <v>0.34599999999999997</v>
      </c>
      <c r="I26" s="225">
        <v>0.308</v>
      </c>
    </row>
    <row r="27" spans="2:9" ht="41.25" customHeight="1" x14ac:dyDescent="0.2">
      <c r="B27" s="667" t="s">
        <v>264</v>
      </c>
      <c r="C27" s="730"/>
      <c r="D27" s="225">
        <f>(9.6%+9.7%)/2</f>
        <v>9.6500000000000002E-2</v>
      </c>
      <c r="E27" s="225">
        <f>(4.7%+6.3%)/2</f>
        <v>5.5E-2</v>
      </c>
      <c r="F27" s="225">
        <v>3.1300000000000001E-2</v>
      </c>
      <c r="G27" s="225">
        <f>(15.7%+14.1%)/2</f>
        <v>0.14899999999999999</v>
      </c>
      <c r="H27" s="225">
        <v>0.13400000000000001</v>
      </c>
      <c r="I27" s="225">
        <v>6.9000000000000006E-2</v>
      </c>
    </row>
    <row r="28" spans="2:9" ht="41.25" customHeight="1" x14ac:dyDescent="0.2">
      <c r="B28" s="667" t="s">
        <v>277</v>
      </c>
      <c r="C28" s="730"/>
      <c r="D28" s="225">
        <f>(9.01%+8.6%)/2</f>
        <v>8.8049999999999989E-2</v>
      </c>
      <c r="E28" s="225">
        <f>(26.5%+32.7%)/2</f>
        <v>0.29600000000000004</v>
      </c>
      <c r="F28" s="225">
        <v>0.17649999999999999</v>
      </c>
      <c r="G28" s="225">
        <v>0.54500000000000004</v>
      </c>
      <c r="H28" s="225">
        <v>0.33300000000000002</v>
      </c>
      <c r="I28" s="484">
        <v>0.36099999999999999</v>
      </c>
    </row>
    <row r="29" spans="2:9" ht="41.25" customHeight="1" x14ac:dyDescent="0.2">
      <c r="B29" s="667" t="s">
        <v>265</v>
      </c>
      <c r="C29" s="730"/>
      <c r="D29" s="40" t="s">
        <v>590</v>
      </c>
      <c r="E29" s="225">
        <f>(100%+20%)/2</f>
        <v>0.6</v>
      </c>
      <c r="F29" s="228">
        <v>0</v>
      </c>
      <c r="G29" s="228">
        <v>0.5</v>
      </c>
      <c r="H29" s="228" t="s">
        <v>231</v>
      </c>
      <c r="I29" s="228" t="s">
        <v>231</v>
      </c>
    </row>
    <row r="30" spans="2:9" ht="41.25" customHeight="1" x14ac:dyDescent="0.2">
      <c r="B30" s="731" t="s">
        <v>279</v>
      </c>
      <c r="C30" s="732"/>
      <c r="D30" s="229">
        <v>0.19400000000000001</v>
      </c>
      <c r="E30" s="229">
        <v>0.25</v>
      </c>
      <c r="F30" s="229">
        <v>6.9800000000000001E-2</v>
      </c>
      <c r="G30" s="229">
        <v>6.0999999999999999E-2</v>
      </c>
      <c r="H30" s="229">
        <v>0.21099999999999999</v>
      </c>
      <c r="I30" s="229">
        <v>0.72399999999999998</v>
      </c>
    </row>
    <row r="31" spans="2:9" ht="22.5" customHeight="1" x14ac:dyDescent="0.2">
      <c r="B31" s="642" t="e">
        <f>D5</f>
        <v>#REF!</v>
      </c>
      <c r="C31" s="642"/>
      <c r="D31" s="76">
        <f t="shared" ref="D31:I31" si="0">COUNTIF(D13:D30,"&gt;=40%")</f>
        <v>3</v>
      </c>
      <c r="E31" s="76">
        <f t="shared" si="0"/>
        <v>1</v>
      </c>
      <c r="F31" s="76">
        <f t="shared" si="0"/>
        <v>1</v>
      </c>
      <c r="G31" s="76">
        <f t="shared" si="0"/>
        <v>5</v>
      </c>
      <c r="H31" s="76">
        <f t="shared" si="0"/>
        <v>3</v>
      </c>
      <c r="I31" s="76">
        <f t="shared" si="0"/>
        <v>4</v>
      </c>
    </row>
    <row r="32" spans="2:9" ht="22.5" customHeight="1" x14ac:dyDescent="0.2">
      <c r="B32" s="851" t="s">
        <v>268</v>
      </c>
      <c r="C32" s="851"/>
      <c r="D32" s="519">
        <f t="shared" ref="D32:I32" si="1">COUNT(D13:D30)</f>
        <v>16</v>
      </c>
      <c r="E32" s="519">
        <f t="shared" si="1"/>
        <v>16</v>
      </c>
      <c r="F32" s="519">
        <f t="shared" si="1"/>
        <v>16</v>
      </c>
      <c r="G32" s="519">
        <f t="shared" si="1"/>
        <v>18</v>
      </c>
      <c r="H32" s="519">
        <f t="shared" si="1"/>
        <v>17</v>
      </c>
      <c r="I32" s="519">
        <f t="shared" si="1"/>
        <v>17</v>
      </c>
    </row>
    <row r="33" spans="2:10" ht="22.5" customHeight="1" x14ac:dyDescent="0.2">
      <c r="B33" s="640" t="s">
        <v>225</v>
      </c>
      <c r="C33" s="706"/>
      <c r="D33" s="146" t="e">
        <f>$D5</f>
        <v>#REF!</v>
      </c>
      <c r="E33" s="146" t="e">
        <f t="shared" ref="E33:G33" si="2">$D5</f>
        <v>#REF!</v>
      </c>
      <c r="F33" s="146" t="e">
        <f t="shared" si="2"/>
        <v>#REF!</v>
      </c>
      <c r="G33" s="146" t="e">
        <f t="shared" si="2"/>
        <v>#REF!</v>
      </c>
      <c r="H33" s="146" t="e">
        <f>$D5</f>
        <v>#REF!</v>
      </c>
      <c r="I33" s="146" t="e">
        <f>$D5</f>
        <v>#REF!</v>
      </c>
    </row>
    <row r="34" spans="2:10" ht="22.5" customHeight="1" x14ac:dyDescent="0.2">
      <c r="B34" s="640" t="s">
        <v>226</v>
      </c>
      <c r="C34" s="706"/>
      <c r="D34" s="46">
        <f t="shared" ref="D34:I34" si="3">D31/D32</f>
        <v>0.1875</v>
      </c>
      <c r="E34" s="46">
        <f t="shared" si="3"/>
        <v>6.25E-2</v>
      </c>
      <c r="F34" s="46">
        <f t="shared" si="3"/>
        <v>6.25E-2</v>
      </c>
      <c r="G34" s="46">
        <f t="shared" si="3"/>
        <v>0.27777777777777779</v>
      </c>
      <c r="H34" s="46">
        <f t="shared" si="3"/>
        <v>0.17647058823529413</v>
      </c>
      <c r="I34" s="46">
        <f t="shared" si="3"/>
        <v>0.23529411764705882</v>
      </c>
    </row>
    <row r="35" spans="2:10" ht="22.5" customHeight="1" x14ac:dyDescent="0.25">
      <c r="B35" s="5"/>
      <c r="C35" s="5"/>
      <c r="D35" s="4"/>
      <c r="E35" s="4"/>
      <c r="F35" s="4"/>
      <c r="G35" s="4"/>
      <c r="H35" s="4"/>
      <c r="I35" s="4"/>
      <c r="J35" s="4"/>
    </row>
    <row r="36" spans="2:10" ht="22.5" customHeight="1" x14ac:dyDescent="0.2">
      <c r="B36" s="572" t="s">
        <v>227</v>
      </c>
      <c r="C36" s="573"/>
      <c r="D36" s="573"/>
      <c r="E36" s="574"/>
      <c r="F36" s="6"/>
      <c r="G36" s="572" t="s">
        <v>228</v>
      </c>
      <c r="H36" s="573"/>
      <c r="I36" s="573"/>
      <c r="J36" s="574"/>
    </row>
    <row r="37" spans="2:10" ht="22.5" customHeight="1" x14ac:dyDescent="0.2">
      <c r="B37" s="6"/>
      <c r="C37" s="6"/>
      <c r="D37" s="6"/>
      <c r="E37" s="6"/>
      <c r="F37" s="6"/>
      <c r="G37" s="7"/>
      <c r="H37" s="7"/>
      <c r="I37" s="7"/>
      <c r="J37" s="7"/>
    </row>
    <row r="38" spans="2:10" ht="6" customHeight="1" x14ac:dyDescent="0.2">
      <c r="B38" s="6"/>
      <c r="C38" s="6"/>
      <c r="D38" s="6"/>
      <c r="E38" s="6"/>
      <c r="F38" s="6"/>
      <c r="G38" s="610" t="s">
        <v>591</v>
      </c>
      <c r="H38" s="560"/>
      <c r="I38" s="560"/>
      <c r="J38" s="561"/>
    </row>
    <row r="39" spans="2:10" ht="19.5" customHeight="1" x14ac:dyDescent="0.2">
      <c r="B39" s="6"/>
      <c r="C39" s="6"/>
      <c r="D39" s="6"/>
      <c r="E39" s="6"/>
      <c r="F39" s="6"/>
      <c r="G39" s="562"/>
      <c r="H39" s="563"/>
      <c r="I39" s="563"/>
      <c r="J39" s="564"/>
    </row>
    <row r="40" spans="2:10" ht="19.5" customHeight="1" x14ac:dyDescent="0.2">
      <c r="B40" s="6"/>
      <c r="C40" s="6"/>
      <c r="D40" s="6"/>
      <c r="E40" s="6"/>
      <c r="F40" s="6"/>
      <c r="G40" s="562"/>
      <c r="H40" s="563"/>
      <c r="I40" s="563"/>
      <c r="J40" s="564"/>
    </row>
    <row r="41" spans="2:10" ht="19.5" customHeight="1" x14ac:dyDescent="0.2">
      <c r="B41" s="6"/>
      <c r="C41" s="6"/>
      <c r="D41" s="6"/>
      <c r="E41" s="6"/>
      <c r="F41" s="6"/>
      <c r="G41" s="562"/>
      <c r="H41" s="563"/>
      <c r="I41" s="563"/>
      <c r="J41" s="564"/>
    </row>
    <row r="42" spans="2:10" ht="19.5" customHeight="1" x14ac:dyDescent="0.2">
      <c r="B42" s="6"/>
      <c r="C42" s="6"/>
      <c r="D42" s="6"/>
      <c r="E42" s="6"/>
      <c r="F42" s="6"/>
      <c r="G42" s="562"/>
      <c r="H42" s="563"/>
      <c r="I42" s="563"/>
      <c r="J42" s="564"/>
    </row>
    <row r="43" spans="2:10" ht="19.5" customHeight="1" x14ac:dyDescent="0.2">
      <c r="B43" s="6"/>
      <c r="C43" s="6"/>
      <c r="D43" s="6"/>
      <c r="E43" s="6"/>
      <c r="F43" s="6"/>
      <c r="G43" s="562"/>
      <c r="H43" s="563"/>
      <c r="I43" s="563"/>
      <c r="J43" s="564"/>
    </row>
    <row r="44" spans="2:10" ht="19.5" customHeight="1" x14ac:dyDescent="0.2">
      <c r="B44" s="6"/>
      <c r="C44" s="6"/>
      <c r="D44" s="6"/>
      <c r="E44" s="6"/>
      <c r="F44" s="6"/>
      <c r="G44" s="562"/>
      <c r="H44" s="563"/>
      <c r="I44" s="563"/>
      <c r="J44" s="564"/>
    </row>
    <row r="45" spans="2:10" ht="19.5" customHeight="1" x14ac:dyDescent="0.2">
      <c r="B45" s="6"/>
      <c r="C45" s="6"/>
      <c r="D45" s="6"/>
      <c r="E45" s="6"/>
      <c r="F45" s="6"/>
      <c r="G45" s="562"/>
      <c r="H45" s="563"/>
      <c r="I45" s="563"/>
      <c r="J45" s="564"/>
    </row>
    <row r="46" spans="2:10" ht="19.5" customHeight="1" x14ac:dyDescent="0.2">
      <c r="B46" s="6"/>
      <c r="C46" s="6"/>
      <c r="D46" s="6"/>
      <c r="E46" s="6"/>
      <c r="F46" s="6"/>
      <c r="G46" s="565"/>
      <c r="H46" s="566"/>
      <c r="I46" s="566"/>
      <c r="J46" s="567"/>
    </row>
    <row r="47" spans="2:10" ht="19.5" customHeight="1" x14ac:dyDescent="0.2"/>
    <row r="48" spans="2:10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2">
    <mergeCell ref="G38:J46"/>
    <mergeCell ref="H48:J48"/>
    <mergeCell ref="B31:C31"/>
    <mergeCell ref="B32:C32"/>
    <mergeCell ref="B33:C33"/>
    <mergeCell ref="B34:C34"/>
    <mergeCell ref="B36:E36"/>
    <mergeCell ref="G36:J36"/>
    <mergeCell ref="B30:C30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20:C20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30">
    <cfRule type="cellIs" dxfId="8" priority="1" operator="between">
      <formula>0</formula>
      <formula>0.36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319D-8846-499F-9FCC-4EF8C057FBE3}">
  <sheetPr>
    <tabColor theme="9" tint="-0.499984740745262"/>
    <pageSetUpPr fitToPage="1"/>
  </sheetPr>
  <dimension ref="B2:N48"/>
  <sheetViews>
    <sheetView showGridLines="0" topLeftCell="A30" zoomScale="82" zoomScaleNormal="82" workbookViewId="0">
      <selection activeCell="I33" sqref="I3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20" width="7.5703125" customWidth="1"/>
  </cols>
  <sheetData>
    <row r="2" spans="2:14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4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4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4" ht="22.5" customHeight="1" x14ac:dyDescent="0.2">
      <c r="B5" s="572" t="s">
        <v>317</v>
      </c>
      <c r="C5" s="574"/>
      <c r="D5" s="839" t="e">
        <f>#REF!</f>
        <v>#REF!</v>
      </c>
      <c r="E5" s="840"/>
      <c r="F5" s="687" t="s">
        <v>211</v>
      </c>
      <c r="G5" s="574"/>
      <c r="H5" s="745" t="s">
        <v>588</v>
      </c>
      <c r="I5" s="650"/>
      <c r="J5" s="612"/>
    </row>
    <row r="6" spans="2:14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4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4" ht="7.5" customHeight="1" x14ac:dyDescent="0.2"/>
    <row r="9" spans="2:14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4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4" ht="22.5" customHeight="1" x14ac:dyDescent="0.2"/>
    <row r="12" spans="2:14" ht="22.5" customHeight="1" x14ac:dyDescent="0.2">
      <c r="B12" s="14"/>
      <c r="C12" s="14"/>
      <c r="D12" s="89" t="s">
        <v>218</v>
      </c>
      <c r="E12" s="89" t="s">
        <v>219</v>
      </c>
      <c r="F12" s="89" t="s">
        <v>220</v>
      </c>
      <c r="G12" s="89" t="s">
        <v>221</v>
      </c>
      <c r="H12" s="89" t="s">
        <v>222</v>
      </c>
      <c r="I12" s="89" t="s">
        <v>223</v>
      </c>
      <c r="K12" s="572" t="s">
        <v>228</v>
      </c>
      <c r="L12" s="573"/>
      <c r="M12" s="573"/>
      <c r="N12" s="574"/>
    </row>
    <row r="13" spans="2:14" ht="41.25" customHeight="1" x14ac:dyDescent="0.2">
      <c r="B13" s="667" t="s">
        <v>238</v>
      </c>
      <c r="C13" s="667"/>
      <c r="D13" s="137">
        <f>(15.27%+29.87%)/2</f>
        <v>0.22570000000000001</v>
      </c>
      <c r="E13" s="137">
        <f>(22.81%+29.87%)/2</f>
        <v>0.26340000000000002</v>
      </c>
      <c r="F13" s="137">
        <v>0.21440000000000001</v>
      </c>
      <c r="G13" s="231">
        <f>(14.28%+ 16.36%)/2</f>
        <v>0.1532</v>
      </c>
      <c r="H13" s="231">
        <f>(20.04%+ 28.29%)/2</f>
        <v>0.24164999999999998</v>
      </c>
      <c r="I13" s="231">
        <v>0.36530000000000001</v>
      </c>
      <c r="K13" s="7"/>
      <c r="L13" s="7"/>
      <c r="M13" s="7"/>
      <c r="N13" s="7"/>
    </row>
    <row r="14" spans="2:14" ht="41.25" customHeight="1" x14ac:dyDescent="0.2">
      <c r="B14" s="667" t="s">
        <v>337</v>
      </c>
      <c r="C14" s="667"/>
      <c r="D14" s="225" t="s">
        <v>231</v>
      </c>
      <c r="E14" s="225" t="s">
        <v>231</v>
      </c>
      <c r="F14" s="225">
        <v>0.24709999999999999</v>
      </c>
      <c r="G14" s="225" t="s">
        <v>231</v>
      </c>
      <c r="H14" s="231" t="s">
        <v>231</v>
      </c>
      <c r="I14" s="231" t="s">
        <v>231</v>
      </c>
      <c r="K14" s="610" t="s">
        <v>592</v>
      </c>
      <c r="L14" s="560"/>
      <c r="M14" s="560"/>
      <c r="N14" s="561"/>
    </row>
    <row r="15" spans="2:14" ht="41.25" customHeight="1" x14ac:dyDescent="0.2">
      <c r="B15" s="667" t="s">
        <v>287</v>
      </c>
      <c r="C15" s="667"/>
      <c r="D15" s="225">
        <f>(17.59%+15.18%)/2</f>
        <v>0.16385</v>
      </c>
      <c r="E15" s="225">
        <f>(17.62%+15.18%)/2</f>
        <v>0.16400000000000001</v>
      </c>
      <c r="F15" s="225">
        <v>0.15620000000000001</v>
      </c>
      <c r="G15" s="226">
        <f>(12.94%+8.94%)/2</f>
        <v>0.1094</v>
      </c>
      <c r="H15" s="231">
        <f>(15.34%+ 17.82%)/2</f>
        <v>0.1658</v>
      </c>
      <c r="I15" s="231">
        <v>0.29925000000000002</v>
      </c>
      <c r="K15" s="562"/>
      <c r="L15" s="563"/>
      <c r="M15" s="563"/>
      <c r="N15" s="564"/>
    </row>
    <row r="16" spans="2:14" ht="41.25" customHeight="1" x14ac:dyDescent="0.2">
      <c r="B16" s="667" t="s">
        <v>241</v>
      </c>
      <c r="C16" s="667"/>
      <c r="D16" s="225">
        <f>(17.11%+33.42%)/2</f>
        <v>0.25264999999999999</v>
      </c>
      <c r="E16" s="225">
        <f>(54.53%+33.42%)/2</f>
        <v>0.43974999999999997</v>
      </c>
      <c r="F16" s="225">
        <v>0.34250000000000003</v>
      </c>
      <c r="G16" s="226">
        <f>(29.96%+28.32%)/2</f>
        <v>0.29139999999999999</v>
      </c>
      <c r="H16" s="231">
        <f>(32.58%+ 32.18%)/2</f>
        <v>0.32379999999999998</v>
      </c>
      <c r="I16" s="231">
        <v>0.438</v>
      </c>
      <c r="K16" s="562"/>
      <c r="L16" s="563"/>
      <c r="M16" s="563"/>
      <c r="N16" s="564"/>
    </row>
    <row r="17" spans="2:14" ht="41.25" customHeight="1" x14ac:dyDescent="0.2">
      <c r="B17" s="667" t="s">
        <v>330</v>
      </c>
      <c r="C17" s="667"/>
      <c r="D17" s="225" t="s">
        <v>231</v>
      </c>
      <c r="E17" s="225" t="s">
        <v>231</v>
      </c>
      <c r="F17" s="225">
        <v>0.34460000000000002</v>
      </c>
      <c r="G17" s="226">
        <f>(31.75%+ 38%)/2</f>
        <v>0.34875</v>
      </c>
      <c r="H17" s="137">
        <f>(58.26%+ 45.76%)/2</f>
        <v>0.52010000000000001</v>
      </c>
      <c r="I17" s="137">
        <v>0.51749999999999996</v>
      </c>
      <c r="K17" s="562"/>
      <c r="L17" s="563"/>
      <c r="M17" s="563"/>
      <c r="N17" s="564"/>
    </row>
    <row r="18" spans="2:14" ht="41.25" customHeight="1" x14ac:dyDescent="0.2">
      <c r="B18" s="667" t="s">
        <v>331</v>
      </c>
      <c r="C18" s="667"/>
      <c r="D18" s="225" t="s">
        <v>231</v>
      </c>
      <c r="E18" s="225" t="s">
        <v>231</v>
      </c>
      <c r="F18" s="225">
        <v>0.3523</v>
      </c>
      <c r="G18" s="225">
        <f>(38.44%+46.34%)/2</f>
        <v>0.4239</v>
      </c>
      <c r="H18" s="137">
        <f>(50.48%+ 38.01%)/2</f>
        <v>0.44244999999999995</v>
      </c>
      <c r="I18" s="137">
        <v>0.55189999999999995</v>
      </c>
      <c r="K18" s="562"/>
      <c r="L18" s="563"/>
      <c r="M18" s="563"/>
      <c r="N18" s="564"/>
    </row>
    <row r="19" spans="2:14" ht="41.25" customHeight="1" x14ac:dyDescent="0.2">
      <c r="B19" s="667" t="s">
        <v>244</v>
      </c>
      <c r="C19" s="667"/>
      <c r="D19" s="225">
        <f>(12.92%+25.19%)/2</f>
        <v>0.19055</v>
      </c>
      <c r="E19" s="225">
        <f>(20.43%+25.19%)/2</f>
        <v>0.22810000000000002</v>
      </c>
      <c r="F19" s="225">
        <v>0.29139999999999999</v>
      </c>
      <c r="G19" s="226">
        <f>(20.45%+ 13.74%)/2</f>
        <v>0.17094999999999999</v>
      </c>
      <c r="H19" s="231">
        <f>(33.92%+ 24.85%)/2</f>
        <v>0.29385</v>
      </c>
      <c r="I19" s="231">
        <v>0.27894999999999998</v>
      </c>
      <c r="K19" s="562"/>
      <c r="L19" s="563"/>
      <c r="M19" s="563"/>
      <c r="N19" s="564"/>
    </row>
    <row r="20" spans="2:14" ht="41.25" customHeight="1" x14ac:dyDescent="0.2">
      <c r="B20" s="730" t="s">
        <v>344</v>
      </c>
      <c r="C20" s="735"/>
      <c r="D20" s="225" t="s">
        <v>231</v>
      </c>
      <c r="E20" s="225">
        <f>(26.15%+41.72%)/2</f>
        <v>0.33935000000000004</v>
      </c>
      <c r="F20" s="225">
        <v>0.4501</v>
      </c>
      <c r="G20" s="225">
        <f>(55.16%+ 40.1%)/2</f>
        <v>0.4763</v>
      </c>
      <c r="H20" s="137">
        <f>(50.27%+ 35.05%)/2</f>
        <v>0.42659999999999998</v>
      </c>
      <c r="I20" s="137">
        <v>0.43109999999999998</v>
      </c>
      <c r="K20" s="562"/>
      <c r="L20" s="563"/>
      <c r="M20" s="563"/>
      <c r="N20" s="564"/>
    </row>
    <row r="21" spans="2:14" ht="41.25" customHeight="1" x14ac:dyDescent="0.2">
      <c r="B21" s="667" t="s">
        <v>246</v>
      </c>
      <c r="C21" s="667"/>
      <c r="D21" s="225">
        <f>(15.84%+28%)/2</f>
        <v>0.21920000000000001</v>
      </c>
      <c r="E21" s="225">
        <f>(26.59%+28%)/2</f>
        <v>0.27295000000000003</v>
      </c>
      <c r="F21" s="225">
        <v>0.34210000000000002</v>
      </c>
      <c r="G21" s="226">
        <f>(19.13%+ 39.9%)/2</f>
        <v>0.29514999999999997</v>
      </c>
      <c r="H21" s="137">
        <f>(42.68%+ 36.68%)/2</f>
        <v>0.39680000000000004</v>
      </c>
      <c r="I21" s="137">
        <v>0.34470000000000001</v>
      </c>
      <c r="K21" s="562"/>
      <c r="L21" s="563"/>
      <c r="M21" s="563"/>
      <c r="N21" s="564"/>
    </row>
    <row r="22" spans="2:14" ht="41.25" customHeight="1" x14ac:dyDescent="0.2">
      <c r="B22" s="667" t="s">
        <v>247</v>
      </c>
      <c r="C22" s="667"/>
      <c r="D22" s="225">
        <f>(16.09%+20.82%)/2</f>
        <v>0.18454999999999999</v>
      </c>
      <c r="E22" s="225">
        <f>(25.24%+20.82%)/2</f>
        <v>0.23029999999999998</v>
      </c>
      <c r="F22" s="225">
        <v>0.29389999999999999</v>
      </c>
      <c r="G22" s="226">
        <f>(19.58%+ 21.1%)/2</f>
        <v>0.2034</v>
      </c>
      <c r="H22" s="231">
        <f>(17.99%+ 14.89%)/2</f>
        <v>0.16439999999999999</v>
      </c>
      <c r="I22" s="231">
        <v>0.27515000000000001</v>
      </c>
      <c r="K22" s="565"/>
      <c r="L22" s="566"/>
      <c r="M22" s="566"/>
      <c r="N22" s="567"/>
    </row>
    <row r="23" spans="2:14" ht="41.25" customHeight="1" x14ac:dyDescent="0.2">
      <c r="B23" s="667" t="s">
        <v>248</v>
      </c>
      <c r="C23" s="667"/>
      <c r="D23" s="225">
        <f>(15.24%+32.36%)/2</f>
        <v>0.23799999999999999</v>
      </c>
      <c r="E23" s="225">
        <f>(39.44%+32.36%)/2</f>
        <v>0.35899999999999999</v>
      </c>
      <c r="F23" s="225">
        <v>0.34329999999999999</v>
      </c>
      <c r="G23" s="226">
        <f>(22.82%+ 12.17%)/2</f>
        <v>0.17494999999999999</v>
      </c>
      <c r="H23" s="231">
        <f>(22.2%+ 15.33%)/2</f>
        <v>0.18764999999999998</v>
      </c>
      <c r="I23" s="231">
        <v>0.24049999999999999</v>
      </c>
      <c r="J23" s="28"/>
      <c r="K23" s="53"/>
      <c r="L23" s="53"/>
      <c r="M23" s="53"/>
      <c r="N23" s="53"/>
    </row>
    <row r="24" spans="2:14" ht="41.25" customHeight="1" x14ac:dyDescent="0.2">
      <c r="B24" s="667" t="s">
        <v>261</v>
      </c>
      <c r="C24" s="667"/>
      <c r="D24" s="225">
        <f>(10.14%+13.77%)/2</f>
        <v>0.11954999999999999</v>
      </c>
      <c r="E24" s="225">
        <f>(26.83%+29.41%)/2</f>
        <v>0.28120000000000001</v>
      </c>
      <c r="F24" s="225">
        <v>0.25969999999999999</v>
      </c>
      <c r="G24" s="225" t="s">
        <v>290</v>
      </c>
      <c r="H24" s="231">
        <f>(14.59%+ 0%)/2</f>
        <v>7.2950000000000001E-2</v>
      </c>
      <c r="I24" s="231">
        <v>0.1719</v>
      </c>
      <c r="J24" s="28"/>
      <c r="K24" s="53"/>
      <c r="L24" s="53"/>
      <c r="M24" s="53"/>
      <c r="N24" s="53"/>
    </row>
    <row r="25" spans="2:14" ht="41.25" customHeight="1" x14ac:dyDescent="0.2">
      <c r="B25" s="667" t="s">
        <v>292</v>
      </c>
      <c r="C25" s="667"/>
      <c r="D25" s="225">
        <f>(10%+7.25%)/2</f>
        <v>8.6249999999999993E-2</v>
      </c>
      <c r="E25" s="225">
        <f>(39.76%+44.62%)/2</f>
        <v>0.42189999999999994</v>
      </c>
      <c r="F25" s="225">
        <v>0.2586</v>
      </c>
      <c r="G25" s="226">
        <v>0.25419999999999998</v>
      </c>
      <c r="H25" s="231">
        <f>(15.13%+ 3.37%)/2</f>
        <v>9.2500000000000013E-2</v>
      </c>
      <c r="I25" s="231">
        <v>7.5999999999999998E-2</v>
      </c>
      <c r="J25" s="28"/>
      <c r="K25" s="53"/>
      <c r="L25" s="53"/>
      <c r="M25" s="53"/>
      <c r="N25" s="53"/>
    </row>
    <row r="26" spans="2:14" ht="41.25" customHeight="1" x14ac:dyDescent="0.2">
      <c r="B26" s="667" t="s">
        <v>275</v>
      </c>
      <c r="C26" s="667"/>
      <c r="D26" s="225">
        <f>(22.5%+41.38%)/2</f>
        <v>0.31940000000000002</v>
      </c>
      <c r="E26" s="225">
        <f>(48%+21.43%)/2</f>
        <v>0.34714999999999996</v>
      </c>
      <c r="F26" s="225">
        <v>0.5625</v>
      </c>
      <c r="G26" s="225">
        <f>(74.07%+ 75%)/2</f>
        <v>0.74534999999999996</v>
      </c>
      <c r="H26" s="231">
        <f>(12.5%+ 32.14%)/2</f>
        <v>0.22320000000000001</v>
      </c>
      <c r="I26" s="231">
        <v>0.38740000000000002</v>
      </c>
      <c r="J26" s="28"/>
      <c r="K26" s="53"/>
      <c r="L26" s="53"/>
      <c r="M26" s="53"/>
      <c r="N26" s="53"/>
    </row>
    <row r="27" spans="2:14" ht="41.25" customHeight="1" x14ac:dyDescent="0.2">
      <c r="B27" s="667" t="s">
        <v>264</v>
      </c>
      <c r="C27" s="667"/>
      <c r="D27" s="225">
        <f>(7.83%+7.22%)/2</f>
        <v>7.5249999999999997E-2</v>
      </c>
      <c r="E27" s="225">
        <f>(12.5%+11.11%)/2</f>
        <v>0.11804999999999999</v>
      </c>
      <c r="F27" s="225">
        <v>0.15529999999999999</v>
      </c>
      <c r="G27" s="226">
        <f>(20.11%+ 11.11%)/2</f>
        <v>0.15609999999999999</v>
      </c>
      <c r="H27" s="231">
        <f>(21.16%+ 0%)/2</f>
        <v>0.10580000000000001</v>
      </c>
      <c r="I27" s="231">
        <v>5.645E-2</v>
      </c>
      <c r="J27" s="28"/>
      <c r="K27" s="53"/>
      <c r="L27" s="53"/>
      <c r="M27" s="53"/>
      <c r="N27" s="53"/>
    </row>
    <row r="28" spans="2:14" ht="41.25" customHeight="1" x14ac:dyDescent="0.2">
      <c r="B28" s="667" t="s">
        <v>277</v>
      </c>
      <c r="C28" s="667"/>
      <c r="D28" s="225">
        <f>(9.09%+9.09%)/2</f>
        <v>9.0899999999999995E-2</v>
      </c>
      <c r="E28" s="225">
        <f>(34.78%+35.82%)/2</f>
        <v>0.35299999999999998</v>
      </c>
      <c r="F28" s="228">
        <v>0.4</v>
      </c>
      <c r="G28" s="40" t="s">
        <v>290</v>
      </c>
      <c r="H28" s="231">
        <f>(20%+ 33.3%)/2</f>
        <v>0.26649999999999996</v>
      </c>
      <c r="I28" s="231">
        <v>0.43940000000000001</v>
      </c>
      <c r="J28" s="28"/>
      <c r="K28" s="53"/>
      <c r="L28" s="53"/>
      <c r="M28" s="53"/>
      <c r="N28" s="53"/>
    </row>
    <row r="29" spans="2:14" ht="41.25" customHeight="1" x14ac:dyDescent="0.2">
      <c r="B29" s="667" t="s">
        <v>265</v>
      </c>
      <c r="C29" s="667"/>
      <c r="D29" s="225">
        <v>0.1</v>
      </c>
      <c r="E29" s="225">
        <f>(100%+30%)/2</f>
        <v>0.65</v>
      </c>
      <c r="F29" s="225">
        <v>0.92310000000000003</v>
      </c>
      <c r="G29" s="40" t="s">
        <v>290</v>
      </c>
      <c r="H29" s="231" t="s">
        <v>231</v>
      </c>
      <c r="I29" s="231">
        <v>0.20830000000000001</v>
      </c>
      <c r="J29" s="28"/>
      <c r="K29" s="53"/>
      <c r="L29" s="53"/>
      <c r="M29" s="53"/>
      <c r="N29" s="53"/>
    </row>
    <row r="30" spans="2:14" ht="41.25" customHeight="1" x14ac:dyDescent="0.2">
      <c r="B30" s="731" t="s">
        <v>279</v>
      </c>
      <c r="C30" s="731"/>
      <c r="D30" s="229">
        <f>(17.71%+14.16%)/2</f>
        <v>0.15934999999999999</v>
      </c>
      <c r="E30" s="229">
        <f>(38.62%+2.33%)/2</f>
        <v>0.20474999999999999</v>
      </c>
      <c r="F30" s="229">
        <v>0.1275</v>
      </c>
      <c r="G30" s="230">
        <v>2.3400000000000001E-2</v>
      </c>
      <c r="H30" s="231">
        <f>(9.92%+ 0%)/2</f>
        <v>4.9599999999999998E-2</v>
      </c>
      <c r="I30" s="231" t="s">
        <v>231</v>
      </c>
      <c r="J30" s="28"/>
      <c r="K30" s="53"/>
      <c r="L30" s="53"/>
      <c r="M30" s="53"/>
      <c r="N30" s="53"/>
    </row>
    <row r="31" spans="2:14" ht="22.5" customHeight="1" x14ac:dyDescent="0.2">
      <c r="B31" s="806" t="e">
        <f>D5</f>
        <v>#REF!</v>
      </c>
      <c r="C31" s="806"/>
      <c r="D31" s="15">
        <f t="shared" ref="D31:I31" si="0">COUNTIF(D13:D30,"&gt;=40%")</f>
        <v>0</v>
      </c>
      <c r="E31" s="15">
        <f t="shared" si="0"/>
        <v>3</v>
      </c>
      <c r="F31" s="15">
        <f t="shared" si="0"/>
        <v>4</v>
      </c>
      <c r="G31" s="15">
        <f t="shared" si="0"/>
        <v>3</v>
      </c>
      <c r="H31" s="15">
        <f t="shared" si="0"/>
        <v>3</v>
      </c>
      <c r="I31" s="15">
        <f t="shared" si="0"/>
        <v>5</v>
      </c>
    </row>
    <row r="32" spans="2:14" ht="22.5" customHeight="1" x14ac:dyDescent="0.2">
      <c r="B32" s="644" t="s">
        <v>268</v>
      </c>
      <c r="C32" s="644"/>
      <c r="D32" s="15">
        <f t="shared" ref="D32:I32" si="1">COUNT(D13:D30)</f>
        <v>14</v>
      </c>
      <c r="E32" s="15">
        <f t="shared" si="1"/>
        <v>15</v>
      </c>
      <c r="F32" s="15">
        <f t="shared" si="1"/>
        <v>18</v>
      </c>
      <c r="G32" s="15">
        <f t="shared" si="1"/>
        <v>14</v>
      </c>
      <c r="H32" s="15">
        <f t="shared" si="1"/>
        <v>16</v>
      </c>
      <c r="I32" s="15">
        <f t="shared" si="1"/>
        <v>16</v>
      </c>
    </row>
    <row r="33" spans="2:10" ht="22.5" customHeight="1" x14ac:dyDescent="0.2">
      <c r="B33" s="640" t="s">
        <v>225</v>
      </c>
      <c r="C33" s="706"/>
      <c r="D33" s="75" t="e">
        <f>D$5</f>
        <v>#REF!</v>
      </c>
      <c r="E33" s="75" t="e">
        <f>$D$5</f>
        <v>#REF!</v>
      </c>
      <c r="F33" s="75" t="e">
        <f t="shared" ref="F33:I33" si="2">$D$5</f>
        <v>#REF!</v>
      </c>
      <c r="G33" s="75" t="e">
        <f t="shared" si="2"/>
        <v>#REF!</v>
      </c>
      <c r="H33" s="75" t="e">
        <f t="shared" si="2"/>
        <v>#REF!</v>
      </c>
      <c r="I33" s="75" t="e">
        <f t="shared" si="2"/>
        <v>#REF!</v>
      </c>
    </row>
    <row r="34" spans="2:10" ht="22.5" customHeight="1" x14ac:dyDescent="0.2">
      <c r="B34" s="640" t="s">
        <v>226</v>
      </c>
      <c r="C34" s="706"/>
      <c r="D34" s="46">
        <f t="shared" ref="D34:I34" si="3">D31/D32</f>
        <v>0</v>
      </c>
      <c r="E34" s="46">
        <f t="shared" si="3"/>
        <v>0.2</v>
      </c>
      <c r="F34" s="46">
        <f t="shared" si="3"/>
        <v>0.22222222222222221</v>
      </c>
      <c r="G34" s="46">
        <f t="shared" si="3"/>
        <v>0.21428571428571427</v>
      </c>
      <c r="H34" s="46">
        <f t="shared" si="3"/>
        <v>0.1875</v>
      </c>
      <c r="I34" s="46">
        <f t="shared" si="3"/>
        <v>0.3125</v>
      </c>
    </row>
    <row r="35" spans="2:10" ht="22.5" customHeight="1" x14ac:dyDescent="0.25">
      <c r="B35" s="5"/>
      <c r="C35" s="5"/>
      <c r="D35" s="4"/>
      <c r="E35" s="4"/>
      <c r="F35" s="4"/>
      <c r="G35" s="4"/>
      <c r="H35" s="4"/>
      <c r="I35" s="4"/>
      <c r="J35" s="4"/>
    </row>
    <row r="36" spans="2:10" ht="22.5" customHeight="1" x14ac:dyDescent="0.2">
      <c r="B36" s="602" t="s">
        <v>227</v>
      </c>
      <c r="C36" s="603"/>
      <c r="D36" s="603"/>
      <c r="E36" s="603"/>
      <c r="F36" s="603"/>
      <c r="G36" s="603"/>
      <c r="H36" s="603"/>
      <c r="I36" s="603"/>
      <c r="J36" s="11"/>
    </row>
    <row r="37" spans="2:10" ht="22.5" customHeight="1" x14ac:dyDescent="0.2">
      <c r="B37" s="6"/>
      <c r="C37" s="6"/>
      <c r="D37" s="6"/>
      <c r="E37" s="6"/>
      <c r="F37" s="6"/>
      <c r="G37" s="7"/>
      <c r="H37" s="7"/>
      <c r="I37" s="7"/>
      <c r="J37" s="7"/>
    </row>
    <row r="38" spans="2:10" ht="6" customHeight="1" x14ac:dyDescent="0.2">
      <c r="B38" s="6"/>
      <c r="C38" s="6"/>
      <c r="D38" s="6"/>
      <c r="E38" s="6"/>
      <c r="F38" s="6"/>
      <c r="G38" s="672" t="s">
        <v>169</v>
      </c>
      <c r="H38" s="648"/>
      <c r="I38" s="648"/>
      <c r="J38" s="648"/>
    </row>
    <row r="39" spans="2:10" ht="19.5" customHeight="1" x14ac:dyDescent="0.2">
      <c r="B39" s="6"/>
      <c r="C39" s="6"/>
      <c r="D39" s="6"/>
      <c r="E39" s="6"/>
      <c r="F39" s="6"/>
      <c r="G39" s="648"/>
      <c r="H39" s="563"/>
      <c r="I39" s="563"/>
      <c r="J39" s="648"/>
    </row>
    <row r="40" spans="2:10" ht="19.5" customHeight="1" x14ac:dyDescent="0.2">
      <c r="B40" s="6"/>
      <c r="C40" s="6"/>
      <c r="D40" s="6"/>
      <c r="E40" s="6"/>
      <c r="F40" s="6"/>
      <c r="G40" s="648"/>
      <c r="H40" s="563"/>
      <c r="I40" s="563"/>
      <c r="J40" s="648"/>
    </row>
    <row r="41" spans="2:10" ht="19.5" customHeight="1" x14ac:dyDescent="0.2">
      <c r="B41" s="6"/>
      <c r="C41" s="6"/>
      <c r="D41" s="6"/>
      <c r="E41" s="6"/>
      <c r="F41" s="6"/>
      <c r="G41" s="648"/>
      <c r="H41" s="563"/>
      <c r="I41" s="563"/>
      <c r="J41" s="648"/>
    </row>
    <row r="42" spans="2:10" ht="19.5" customHeight="1" x14ac:dyDescent="0.2">
      <c r="B42" s="6"/>
      <c r="C42" s="6"/>
      <c r="D42" s="6"/>
      <c r="E42" s="6"/>
      <c r="F42" s="6"/>
      <c r="G42" s="648"/>
      <c r="H42" s="563"/>
      <c r="I42" s="563"/>
      <c r="J42" s="648"/>
    </row>
    <row r="43" spans="2:10" ht="19.5" customHeight="1" x14ac:dyDescent="0.2">
      <c r="B43" s="6"/>
      <c r="C43" s="6"/>
      <c r="D43" s="6"/>
      <c r="E43" s="6"/>
      <c r="F43" s="6"/>
      <c r="G43" s="648"/>
      <c r="H43" s="563"/>
      <c r="I43" s="563"/>
      <c r="J43" s="648"/>
    </row>
    <row r="44" spans="2:10" ht="19.5" customHeight="1" x14ac:dyDescent="0.2">
      <c r="B44" s="6"/>
      <c r="C44" s="6"/>
      <c r="D44" s="6"/>
      <c r="E44" s="6"/>
      <c r="F44" s="6"/>
      <c r="G44" s="648"/>
      <c r="H44" s="563"/>
      <c r="I44" s="563"/>
      <c r="J44" s="648"/>
    </row>
    <row r="45" spans="2:10" ht="19.5" customHeight="1" x14ac:dyDescent="0.2">
      <c r="B45" s="6"/>
      <c r="C45" s="6"/>
      <c r="D45" s="6"/>
      <c r="E45" s="6"/>
      <c r="F45" s="6"/>
      <c r="G45" s="648"/>
      <c r="H45" s="563"/>
      <c r="I45" s="563"/>
      <c r="J45" s="648"/>
    </row>
    <row r="46" spans="2:10" ht="19.5" customHeight="1" x14ac:dyDescent="0.2">
      <c r="B46" s="6"/>
      <c r="C46" s="6"/>
      <c r="D46" s="6"/>
      <c r="E46" s="6"/>
      <c r="F46" s="6"/>
      <c r="G46" s="648"/>
      <c r="H46" s="648"/>
      <c r="I46" s="648"/>
      <c r="J46" s="648"/>
    </row>
    <row r="47" spans="2:10" ht="19.5" customHeight="1" x14ac:dyDescent="0.2"/>
    <row r="48" spans="2:10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3">
    <mergeCell ref="G38:J46"/>
    <mergeCell ref="H48:J48"/>
    <mergeCell ref="B31:C31"/>
    <mergeCell ref="B32:C32"/>
    <mergeCell ref="B33:C33"/>
    <mergeCell ref="B34:C34"/>
    <mergeCell ref="B36:I36"/>
    <mergeCell ref="K12:N12"/>
    <mergeCell ref="K14:N22"/>
    <mergeCell ref="B30:C30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20:C20"/>
    <mergeCell ref="B17:C17"/>
    <mergeCell ref="B15:C15"/>
    <mergeCell ref="B16:C16"/>
    <mergeCell ref="B5:C5"/>
    <mergeCell ref="D5:E5"/>
    <mergeCell ref="F5:G5"/>
    <mergeCell ref="B7:C7"/>
    <mergeCell ref="D7:J7"/>
    <mergeCell ref="B9:J9"/>
    <mergeCell ref="B13:C13"/>
    <mergeCell ref="B14:C14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30">
    <cfRule type="cellIs" dxfId="7" priority="1" operator="between">
      <formula>0</formula>
      <formula>0.36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972D-15A7-46D8-9EB3-CB2F4D4A3307}">
  <sheetPr>
    <tabColor theme="9" tint="-0.499984740745262"/>
    <pageSetUpPr fitToPage="1"/>
  </sheetPr>
  <dimension ref="B2:Q48"/>
  <sheetViews>
    <sheetView showGridLines="0" topLeftCell="A47" workbookViewId="0">
      <selection activeCell="G62" sqref="G62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25" bestFit="1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588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105" t="s">
        <v>218</v>
      </c>
      <c r="E12" s="105" t="s">
        <v>219</v>
      </c>
      <c r="F12" s="105" t="s">
        <v>220</v>
      </c>
      <c r="G12" s="105" t="s">
        <v>221</v>
      </c>
      <c r="H12" s="105" t="s">
        <v>222</v>
      </c>
      <c r="I12" s="105" t="s">
        <v>223</v>
      </c>
    </row>
    <row r="13" spans="2:10" ht="41.25" customHeight="1" thickBot="1" x14ac:dyDescent="0.25">
      <c r="B13" s="667" t="s">
        <v>238</v>
      </c>
      <c r="C13" s="667"/>
      <c r="D13" s="29">
        <v>4.18</v>
      </c>
      <c r="E13" s="29" t="s">
        <v>231</v>
      </c>
      <c r="F13" s="29">
        <v>3.75</v>
      </c>
      <c r="G13" s="63">
        <v>4.2</v>
      </c>
      <c r="H13" s="29">
        <v>3.69</v>
      </c>
      <c r="I13" s="202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29" t="s">
        <v>231</v>
      </c>
      <c r="E14" s="29" t="s">
        <v>231</v>
      </c>
      <c r="F14" s="29">
        <v>3.8</v>
      </c>
      <c r="G14" s="63">
        <v>3</v>
      </c>
      <c r="H14" s="29">
        <v>4</v>
      </c>
      <c r="I14" s="165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29" t="s">
        <v>231</v>
      </c>
      <c r="E15" s="29">
        <v>4.2</v>
      </c>
      <c r="F15" s="29">
        <v>4.4000000000000004</v>
      </c>
      <c r="G15" s="63">
        <v>3.5</v>
      </c>
      <c r="H15" s="29">
        <v>4.33</v>
      </c>
      <c r="I15" s="165" t="s">
        <v>254</v>
      </c>
      <c r="J15" s="121"/>
    </row>
    <row r="16" spans="2:10" ht="41.25" customHeight="1" thickBot="1" x14ac:dyDescent="0.25">
      <c r="B16" s="667" t="s">
        <v>241</v>
      </c>
      <c r="C16" s="667"/>
      <c r="D16" s="29">
        <v>3.44</v>
      </c>
      <c r="E16" s="29">
        <v>3.48</v>
      </c>
      <c r="F16" s="29">
        <v>3.77</v>
      </c>
      <c r="G16" s="63">
        <v>3.33</v>
      </c>
      <c r="H16" s="29">
        <v>4.05</v>
      </c>
      <c r="I16" s="165" t="s">
        <v>254</v>
      </c>
      <c r="J16" s="121"/>
    </row>
    <row r="17" spans="2:9" ht="41.25" customHeight="1" thickBot="1" x14ac:dyDescent="0.25">
      <c r="B17" s="667" t="s">
        <v>330</v>
      </c>
      <c r="C17" s="667"/>
      <c r="D17" s="29" t="s">
        <v>231</v>
      </c>
      <c r="E17" s="29" t="s">
        <v>231</v>
      </c>
      <c r="F17" s="29" t="s">
        <v>231</v>
      </c>
      <c r="G17" s="63">
        <v>4</v>
      </c>
      <c r="H17" s="29">
        <v>4</v>
      </c>
      <c r="I17" s="165" t="s">
        <v>254</v>
      </c>
    </row>
    <row r="18" spans="2:9" ht="41.25" customHeight="1" thickBot="1" x14ac:dyDescent="0.25">
      <c r="B18" s="667" t="s">
        <v>331</v>
      </c>
      <c r="C18" s="667"/>
      <c r="D18" s="29">
        <v>3</v>
      </c>
      <c r="E18" s="29">
        <v>4.1399999999999997</v>
      </c>
      <c r="F18" s="29" t="s">
        <v>231</v>
      </c>
      <c r="G18" s="63">
        <v>3.75</v>
      </c>
      <c r="H18" s="29">
        <v>4.25</v>
      </c>
      <c r="I18" s="165" t="s">
        <v>254</v>
      </c>
    </row>
    <row r="19" spans="2:9" ht="41.25" customHeight="1" thickBot="1" x14ac:dyDescent="0.25">
      <c r="B19" s="667" t="s">
        <v>244</v>
      </c>
      <c r="C19" s="667"/>
      <c r="D19" s="29">
        <v>4</v>
      </c>
      <c r="E19" s="29" t="s">
        <v>231</v>
      </c>
      <c r="F19" s="29" t="s">
        <v>231</v>
      </c>
      <c r="G19" s="63" t="s">
        <v>231</v>
      </c>
      <c r="H19" s="29">
        <v>4.1399999999999997</v>
      </c>
      <c r="I19" s="165" t="s">
        <v>254</v>
      </c>
    </row>
    <row r="20" spans="2:9" ht="41.25" customHeight="1" thickBot="1" x14ac:dyDescent="0.35">
      <c r="B20" s="852" t="s">
        <v>245</v>
      </c>
      <c r="C20" s="853"/>
      <c r="D20" s="29" t="s">
        <v>231</v>
      </c>
      <c r="E20" s="29" t="s">
        <v>231</v>
      </c>
      <c r="F20" s="29" t="s">
        <v>231</v>
      </c>
      <c r="G20" s="63" t="s">
        <v>231</v>
      </c>
      <c r="H20" s="29">
        <v>4.8600000000000003</v>
      </c>
      <c r="I20" s="165" t="s">
        <v>254</v>
      </c>
    </row>
    <row r="21" spans="2:9" ht="41.25" customHeight="1" thickBot="1" x14ac:dyDescent="0.25">
      <c r="B21" s="667" t="s">
        <v>246</v>
      </c>
      <c r="C21" s="667"/>
      <c r="D21" s="29">
        <v>4.5999999999999996</v>
      </c>
      <c r="E21" s="29">
        <v>3.93</v>
      </c>
      <c r="F21" s="29">
        <v>3.64</v>
      </c>
      <c r="G21" s="63">
        <v>3.2</v>
      </c>
      <c r="H21" s="29">
        <v>4.3</v>
      </c>
      <c r="I21" s="165" t="s">
        <v>254</v>
      </c>
    </row>
    <row r="22" spans="2:9" ht="41.25" customHeight="1" thickBot="1" x14ac:dyDescent="0.25">
      <c r="B22" s="667" t="s">
        <v>247</v>
      </c>
      <c r="C22" s="667"/>
      <c r="D22" s="29">
        <v>3.82</v>
      </c>
      <c r="E22" s="29">
        <v>3.67</v>
      </c>
      <c r="F22" s="29">
        <v>4.07</v>
      </c>
      <c r="G22" s="63">
        <v>3</v>
      </c>
      <c r="H22" s="29">
        <v>4.18</v>
      </c>
      <c r="I22" s="165" t="s">
        <v>254</v>
      </c>
    </row>
    <row r="23" spans="2:9" ht="41.25" customHeight="1" thickBot="1" x14ac:dyDescent="0.25">
      <c r="B23" s="667" t="s">
        <v>248</v>
      </c>
      <c r="C23" s="667"/>
      <c r="D23" s="29">
        <v>3.58</v>
      </c>
      <c r="E23" s="29">
        <v>3.74</v>
      </c>
      <c r="F23" s="29">
        <v>3.17</v>
      </c>
      <c r="G23" s="63">
        <v>4.75</v>
      </c>
      <c r="H23" s="29">
        <v>3.79</v>
      </c>
      <c r="I23" s="165" t="s">
        <v>254</v>
      </c>
    </row>
    <row r="24" spans="2:9" ht="41.25" customHeight="1" thickBot="1" x14ac:dyDescent="0.25">
      <c r="B24" s="731" t="s">
        <v>261</v>
      </c>
      <c r="C24" s="731"/>
      <c r="D24" s="79" t="s">
        <v>311</v>
      </c>
      <c r="E24" s="79" t="s">
        <v>311</v>
      </c>
      <c r="F24" s="79">
        <v>3.33</v>
      </c>
      <c r="G24" s="232" t="s">
        <v>231</v>
      </c>
      <c r="H24" s="29">
        <v>3.72</v>
      </c>
      <c r="I24" s="196" t="s">
        <v>254</v>
      </c>
    </row>
    <row r="25" spans="2:9" ht="41.25" customHeight="1" thickBot="1" x14ac:dyDescent="0.25">
      <c r="B25" s="667" t="s">
        <v>292</v>
      </c>
      <c r="C25" s="667"/>
      <c r="D25" s="29" t="s">
        <v>311</v>
      </c>
      <c r="E25" s="29" t="s">
        <v>311</v>
      </c>
      <c r="F25" s="29" t="s">
        <v>231</v>
      </c>
      <c r="G25" s="63" t="s">
        <v>231</v>
      </c>
      <c r="H25" s="29">
        <v>3.63</v>
      </c>
      <c r="I25" s="202" t="s">
        <v>254</v>
      </c>
    </row>
    <row r="26" spans="2:9" ht="41.25" customHeight="1" thickBot="1" x14ac:dyDescent="0.25">
      <c r="B26" s="667" t="s">
        <v>275</v>
      </c>
      <c r="C26" s="667"/>
      <c r="D26" s="29" t="s">
        <v>311</v>
      </c>
      <c r="E26" s="29" t="s">
        <v>311</v>
      </c>
      <c r="F26" s="29">
        <v>4.22</v>
      </c>
      <c r="G26" s="63" t="s">
        <v>231</v>
      </c>
      <c r="H26" s="29">
        <v>4.18</v>
      </c>
      <c r="I26" s="165" t="s">
        <v>254</v>
      </c>
    </row>
    <row r="27" spans="2:9" ht="41.25" customHeight="1" thickBot="1" x14ac:dyDescent="0.25">
      <c r="B27" s="667" t="s">
        <v>264</v>
      </c>
      <c r="C27" s="667"/>
      <c r="D27" s="29" t="s">
        <v>311</v>
      </c>
      <c r="E27" s="29" t="s">
        <v>311</v>
      </c>
      <c r="F27" s="29" t="s">
        <v>231</v>
      </c>
      <c r="G27" s="63">
        <v>1.5</v>
      </c>
      <c r="H27" s="29">
        <v>3.38</v>
      </c>
      <c r="I27" s="483" t="s">
        <v>254</v>
      </c>
    </row>
    <row r="28" spans="2:9" ht="41.25" customHeight="1" thickBot="1" x14ac:dyDescent="0.25">
      <c r="B28" s="667" t="s">
        <v>277</v>
      </c>
      <c r="C28" s="667"/>
      <c r="D28" s="29" t="s">
        <v>311</v>
      </c>
      <c r="E28" s="29" t="s">
        <v>311</v>
      </c>
      <c r="F28" s="29" t="s">
        <v>231</v>
      </c>
      <c r="G28" s="63">
        <v>2</v>
      </c>
      <c r="H28" s="29">
        <v>4.1100000000000003</v>
      </c>
      <c r="I28" s="165" t="s">
        <v>254</v>
      </c>
    </row>
    <row r="29" spans="2:9" ht="41.25" customHeight="1" thickBot="1" x14ac:dyDescent="0.25">
      <c r="B29" s="667" t="s">
        <v>265</v>
      </c>
      <c r="C29" s="667"/>
      <c r="D29" s="29" t="s">
        <v>311</v>
      </c>
      <c r="E29" s="29" t="s">
        <v>311</v>
      </c>
      <c r="F29" s="29" t="s">
        <v>231</v>
      </c>
      <c r="G29" s="63" t="s">
        <v>231</v>
      </c>
      <c r="H29" s="29" t="s">
        <v>231</v>
      </c>
      <c r="I29" s="165" t="s">
        <v>254</v>
      </c>
    </row>
    <row r="30" spans="2:9" ht="41.25" customHeight="1" thickBot="1" x14ac:dyDescent="0.25">
      <c r="B30" s="667" t="s">
        <v>279</v>
      </c>
      <c r="C30" s="667"/>
      <c r="D30" s="29" t="s">
        <v>311</v>
      </c>
      <c r="E30" s="29" t="s">
        <v>311</v>
      </c>
      <c r="F30" s="29" t="s">
        <v>231</v>
      </c>
      <c r="G30" s="63">
        <v>3</v>
      </c>
      <c r="H30" s="29">
        <v>3.71</v>
      </c>
      <c r="I30" s="165" t="s">
        <v>254</v>
      </c>
    </row>
    <row r="31" spans="2:9" ht="22.5" customHeight="1" x14ac:dyDescent="0.2">
      <c r="B31" s="785" t="e">
        <f>D5</f>
        <v>#REF!</v>
      </c>
      <c r="C31" s="785"/>
      <c r="D31" s="32">
        <f t="shared" ref="D31:I31" si="0">COUNTIF(D13:D30,"&gt;=3,5")</f>
        <v>5</v>
      </c>
      <c r="E31" s="32">
        <f t="shared" si="0"/>
        <v>5</v>
      </c>
      <c r="F31" s="32">
        <f t="shared" si="0"/>
        <v>7</v>
      </c>
      <c r="G31" s="233">
        <f t="shared" si="0"/>
        <v>5</v>
      </c>
      <c r="H31" s="32">
        <f t="shared" si="0"/>
        <v>16</v>
      </c>
      <c r="I31" s="32">
        <f t="shared" si="0"/>
        <v>0</v>
      </c>
    </row>
    <row r="32" spans="2:9" ht="22.5" customHeight="1" x14ac:dyDescent="0.2">
      <c r="B32" s="644" t="s">
        <v>268</v>
      </c>
      <c r="C32" s="644"/>
      <c r="D32" s="15">
        <f t="shared" ref="D32:I32" si="1">COUNT(D13:D30)</f>
        <v>7</v>
      </c>
      <c r="E32" s="15">
        <f t="shared" si="1"/>
        <v>6</v>
      </c>
      <c r="F32" s="15">
        <f t="shared" si="1"/>
        <v>9</v>
      </c>
      <c r="G32" s="15">
        <f t="shared" si="1"/>
        <v>12</v>
      </c>
      <c r="H32" s="15">
        <f t="shared" si="1"/>
        <v>17</v>
      </c>
      <c r="I32" s="15">
        <f t="shared" si="1"/>
        <v>0</v>
      </c>
    </row>
    <row r="33" spans="2:17" ht="22.5" customHeight="1" x14ac:dyDescent="0.2">
      <c r="B33" s="640" t="s">
        <v>225</v>
      </c>
      <c r="C33" s="706"/>
      <c r="D33" s="72" t="e">
        <f>$D5</f>
        <v>#REF!</v>
      </c>
      <c r="E33" s="72" t="e">
        <f t="shared" ref="E33:H33" si="2">$D5</f>
        <v>#REF!</v>
      </c>
      <c r="F33" s="72" t="e">
        <f t="shared" si="2"/>
        <v>#REF!</v>
      </c>
      <c r="G33" s="72" t="e">
        <f t="shared" si="2"/>
        <v>#REF!</v>
      </c>
      <c r="H33" s="72" t="e">
        <f t="shared" si="2"/>
        <v>#REF!</v>
      </c>
      <c r="I33" s="72" t="e">
        <f t="shared" ref="I33" si="3">$D5</f>
        <v>#REF!</v>
      </c>
      <c r="N33" s="68" t="s">
        <v>228</v>
      </c>
      <c r="O33" s="142"/>
      <c r="P33" s="142"/>
      <c r="Q33" s="141"/>
    </row>
    <row r="34" spans="2:17" ht="22.5" customHeight="1" x14ac:dyDescent="0.2">
      <c r="B34" s="640" t="s">
        <v>226</v>
      </c>
      <c r="C34" s="706"/>
      <c r="D34" s="46">
        <f t="shared" ref="D34:I34" si="4">D31/D32</f>
        <v>0.7142857142857143</v>
      </c>
      <c r="E34" s="46">
        <f t="shared" si="4"/>
        <v>0.83333333333333337</v>
      </c>
      <c r="F34" s="46">
        <f t="shared" si="4"/>
        <v>0.77777777777777779</v>
      </c>
      <c r="G34" s="46">
        <f t="shared" si="4"/>
        <v>0.41666666666666669</v>
      </c>
      <c r="H34" s="46">
        <f t="shared" si="4"/>
        <v>0.94117647058823528</v>
      </c>
      <c r="I34" s="46" t="e">
        <f t="shared" si="4"/>
        <v>#DIV/0!</v>
      </c>
      <c r="N34" s="7"/>
      <c r="O34" s="7"/>
      <c r="P34" s="7"/>
      <c r="Q34" s="7"/>
    </row>
    <row r="35" spans="2:17" ht="22.5" customHeight="1" x14ac:dyDescent="0.25">
      <c r="B35" s="5"/>
      <c r="C35" s="5"/>
      <c r="D35" s="4"/>
      <c r="E35" s="4"/>
      <c r="F35" s="4"/>
      <c r="G35" s="4"/>
      <c r="H35" s="4"/>
      <c r="I35" s="4"/>
      <c r="N35" s="721" t="s">
        <v>593</v>
      </c>
      <c r="O35" s="722"/>
      <c r="P35" s="722"/>
      <c r="Q35" s="723"/>
    </row>
    <row r="36" spans="2:17" ht="22.5" customHeight="1" x14ac:dyDescent="0.2">
      <c r="B36" s="572" t="s">
        <v>227</v>
      </c>
      <c r="C36" s="573"/>
      <c r="D36" s="573"/>
      <c r="E36" s="574"/>
      <c r="F36" s="6"/>
      <c r="N36" s="724"/>
      <c r="O36" s="725"/>
      <c r="P36" s="725"/>
      <c r="Q36" s="726"/>
    </row>
    <row r="37" spans="2:17" ht="22.5" customHeight="1" x14ac:dyDescent="0.2">
      <c r="B37" s="6"/>
      <c r="C37" s="6"/>
      <c r="D37" s="6"/>
      <c r="E37" s="6"/>
      <c r="F37" s="6"/>
      <c r="N37" s="724"/>
      <c r="O37" s="725"/>
      <c r="P37" s="725"/>
      <c r="Q37" s="726"/>
    </row>
    <row r="38" spans="2:17" ht="6" customHeight="1" x14ac:dyDescent="0.2">
      <c r="B38" s="6"/>
      <c r="C38" s="6"/>
      <c r="D38" s="6"/>
      <c r="E38" s="6"/>
      <c r="F38" s="6"/>
      <c r="N38" s="724"/>
      <c r="O38" s="725"/>
      <c r="P38" s="725"/>
      <c r="Q38" s="726"/>
    </row>
    <row r="39" spans="2:17" ht="19.5" customHeight="1" x14ac:dyDescent="0.2">
      <c r="B39" s="6"/>
      <c r="C39" s="6"/>
      <c r="D39" s="6"/>
      <c r="E39" s="6"/>
      <c r="F39" s="6"/>
      <c r="N39" s="724"/>
      <c r="O39" s="725"/>
      <c r="P39" s="725"/>
      <c r="Q39" s="726"/>
    </row>
    <row r="40" spans="2:17" ht="19.5" customHeight="1" x14ac:dyDescent="0.2">
      <c r="B40" s="6"/>
      <c r="C40" s="6"/>
      <c r="D40" s="6"/>
      <c r="E40" s="6"/>
      <c r="F40" s="6"/>
      <c r="N40" s="724"/>
      <c r="O40" s="725"/>
      <c r="P40" s="725"/>
      <c r="Q40" s="726"/>
    </row>
    <row r="41" spans="2:17" ht="19.5" customHeight="1" x14ac:dyDescent="0.2">
      <c r="B41" s="6"/>
      <c r="C41" s="6"/>
      <c r="D41" s="6"/>
      <c r="E41" s="6"/>
      <c r="F41" s="6"/>
      <c r="N41" s="724"/>
      <c r="O41" s="725"/>
      <c r="P41" s="725"/>
      <c r="Q41" s="726"/>
    </row>
    <row r="42" spans="2:17" ht="19.5" customHeight="1" x14ac:dyDescent="0.2">
      <c r="B42" s="6"/>
      <c r="C42" s="6"/>
      <c r="D42" s="6"/>
      <c r="E42" s="6"/>
      <c r="F42" s="6"/>
      <c r="N42" s="724"/>
      <c r="O42" s="725"/>
      <c r="P42" s="725"/>
      <c r="Q42" s="726"/>
    </row>
    <row r="43" spans="2:17" ht="19.5" customHeight="1" x14ac:dyDescent="0.2">
      <c r="B43" s="6"/>
      <c r="C43" s="6"/>
      <c r="D43" s="6"/>
      <c r="E43" s="6"/>
      <c r="F43" s="6"/>
      <c r="N43" s="771"/>
      <c r="O43" s="772"/>
      <c r="P43" s="772"/>
      <c r="Q43" s="773"/>
    </row>
    <row r="44" spans="2:17" ht="19.5" customHeight="1" x14ac:dyDescent="0.2">
      <c r="B44" s="6"/>
      <c r="C44" s="6"/>
      <c r="D44" s="6"/>
      <c r="E44" s="6"/>
      <c r="F44" s="6"/>
    </row>
    <row r="45" spans="2:17" ht="19.5" customHeight="1" x14ac:dyDescent="0.2">
      <c r="B45" s="6"/>
      <c r="C45" s="6"/>
      <c r="D45" s="6"/>
      <c r="E45" s="6"/>
      <c r="F45" s="6"/>
    </row>
    <row r="46" spans="2:17" ht="19.5" customHeight="1" x14ac:dyDescent="0.2">
      <c r="B46" s="6"/>
      <c r="C46" s="6"/>
      <c r="D46" s="6"/>
      <c r="E46" s="6"/>
      <c r="F46" s="6"/>
    </row>
    <row r="47" spans="2:17" ht="19.5" customHeight="1" x14ac:dyDescent="0.2"/>
    <row r="48" spans="2:17" ht="19.5" customHeight="1" x14ac:dyDescent="0.2">
      <c r="H48" s="568" t="s">
        <v>169</v>
      </c>
      <c r="I48" s="569"/>
      <c r="J48" s="569"/>
    </row>
  </sheetData>
  <sheetProtection sheet="1" formatCells="0" formatColumns="0" formatRows="0" insertColumns="0" insertRows="0" insertHyperlinks="0" deleteColumns="0" deleteRows="0" pivotTables="0"/>
  <mergeCells count="41">
    <mergeCell ref="N35:Q43"/>
    <mergeCell ref="H48:J48"/>
    <mergeCell ref="B31:C31"/>
    <mergeCell ref="B32:C32"/>
    <mergeCell ref="B33:C33"/>
    <mergeCell ref="B34:C34"/>
    <mergeCell ref="B36:E36"/>
    <mergeCell ref="B30:C30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20:C20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30">
    <cfRule type="cellIs" dxfId="6" priority="1" operator="lessThan">
      <formula>3.5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300B-A1B3-4370-B549-94DEBA72ECB8}">
  <sheetPr>
    <tabColor theme="9" tint="-0.499984740745262"/>
    <pageSetUpPr fitToPage="1"/>
  </sheetPr>
  <dimension ref="B2:K52"/>
  <sheetViews>
    <sheetView showGridLines="0" topLeftCell="A29" workbookViewId="0">
      <selection activeCell="G33" sqref="G3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25" bestFit="1" customWidth="1"/>
    <col min="5" max="9" width="12.5703125" customWidth="1"/>
    <col min="10" max="10" width="36.28515625" customWidth="1"/>
    <col min="11" max="11" width="44.42578125" customWidth="1"/>
    <col min="12" max="20" width="7.5703125" customWidth="1"/>
  </cols>
  <sheetData>
    <row r="2" spans="2:10" ht="55.5" customHeight="1" x14ac:dyDescent="0.2">
      <c r="B2" s="659"/>
      <c r="C2" s="659"/>
      <c r="D2" s="659"/>
      <c r="E2" s="854" t="s">
        <v>207</v>
      </c>
      <c r="F2" s="854"/>
      <c r="G2" s="854"/>
      <c r="H2" s="854"/>
      <c r="I2" s="854"/>
      <c r="J2" s="854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2"/>
      <c r="D4" s="705" t="e">
        <f>#REF!</f>
        <v>#REF!</v>
      </c>
      <c r="E4" s="705"/>
      <c r="F4" s="855" t="s">
        <v>209</v>
      </c>
      <c r="G4" s="855"/>
      <c r="H4" s="705" t="e">
        <f>#REF!</f>
        <v>#REF!</v>
      </c>
      <c r="I4" s="705"/>
      <c r="J4" s="705"/>
    </row>
    <row r="5" spans="2:10" ht="22.5" customHeight="1" x14ac:dyDescent="0.2">
      <c r="B5" s="572" t="s">
        <v>317</v>
      </c>
      <c r="C5" s="572"/>
      <c r="D5" s="705" t="e">
        <f>#REF!</f>
        <v>#REF!</v>
      </c>
      <c r="E5" s="705"/>
      <c r="F5" s="856" t="s">
        <v>211</v>
      </c>
      <c r="G5" s="856"/>
      <c r="H5" s="857" t="s">
        <v>588</v>
      </c>
      <c r="I5" s="857"/>
      <c r="J5" s="858"/>
    </row>
    <row r="6" spans="2:10" ht="22.5" customHeight="1" x14ac:dyDescent="0.2">
      <c r="B6" s="572" t="s">
        <v>213</v>
      </c>
      <c r="C6" s="572"/>
      <c r="D6" s="705" t="s">
        <v>214</v>
      </c>
      <c r="E6" s="705"/>
      <c r="F6" s="855" t="s">
        <v>236</v>
      </c>
      <c r="G6" s="855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2"/>
      <c r="D7" s="705" t="e">
        <f>#REF!</f>
        <v>#REF!</v>
      </c>
      <c r="E7" s="705"/>
      <c r="F7" s="705"/>
      <c r="G7" s="705"/>
      <c r="H7" s="705"/>
      <c r="I7" s="705"/>
      <c r="J7" s="705"/>
    </row>
    <row r="8" spans="2:10" ht="7.5" customHeight="1" x14ac:dyDescent="0.2"/>
    <row r="9" spans="2:10" ht="22.5" customHeight="1" x14ac:dyDescent="0.2">
      <c r="B9" s="572" t="s">
        <v>217</v>
      </c>
      <c r="C9" s="572"/>
      <c r="D9" s="572"/>
      <c r="E9" s="572"/>
      <c r="F9" s="572"/>
      <c r="G9" s="572"/>
      <c r="H9" s="572"/>
      <c r="I9" s="572"/>
      <c r="J9" s="572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x14ac:dyDescent="0.2">
      <c r="B12" s="14"/>
      <c r="C12" s="14"/>
      <c r="D12" s="105" t="s">
        <v>218</v>
      </c>
      <c r="E12" s="105" t="s">
        <v>219</v>
      </c>
      <c r="F12" s="105" t="s">
        <v>220</v>
      </c>
      <c r="G12" s="368" t="s">
        <v>221</v>
      </c>
      <c r="H12" s="89" t="s">
        <v>222</v>
      </c>
      <c r="I12" s="89" t="s">
        <v>223</v>
      </c>
    </row>
    <row r="13" spans="2:10" ht="41.25" customHeight="1" x14ac:dyDescent="0.2">
      <c r="B13" s="667" t="s">
        <v>238</v>
      </c>
      <c r="C13" s="667"/>
      <c r="D13" s="39">
        <v>0.63639999999999997</v>
      </c>
      <c r="E13" s="29" t="s">
        <v>231</v>
      </c>
      <c r="F13" s="39">
        <v>0.625</v>
      </c>
      <c r="G13" s="369">
        <v>0.8</v>
      </c>
      <c r="H13" s="39">
        <v>0.88239999999999996</v>
      </c>
      <c r="I13" s="39" t="s">
        <v>254</v>
      </c>
      <c r="J13" s="121"/>
    </row>
    <row r="14" spans="2:10" ht="41.25" customHeight="1" x14ac:dyDescent="0.2">
      <c r="B14" s="667" t="s">
        <v>337</v>
      </c>
      <c r="C14" s="667"/>
      <c r="D14" s="29" t="s">
        <v>231</v>
      </c>
      <c r="E14" s="29" t="s">
        <v>231</v>
      </c>
      <c r="F14" s="39">
        <v>0.8</v>
      </c>
      <c r="G14" s="369" t="s">
        <v>231</v>
      </c>
      <c r="H14" s="29">
        <v>100</v>
      </c>
      <c r="I14" s="29" t="s">
        <v>254</v>
      </c>
      <c r="J14" s="121"/>
    </row>
    <row r="15" spans="2:10" ht="41.25" customHeight="1" x14ac:dyDescent="0.2">
      <c r="B15" s="667" t="s">
        <v>287</v>
      </c>
      <c r="C15" s="667"/>
      <c r="D15" s="29" t="s">
        <v>231</v>
      </c>
      <c r="E15" s="55">
        <v>1</v>
      </c>
      <c r="F15" s="39">
        <v>0.66669999999999996</v>
      </c>
      <c r="G15" s="369">
        <v>0.5</v>
      </c>
      <c r="H15" s="55">
        <v>0.5</v>
      </c>
      <c r="I15" s="55" t="s">
        <v>254</v>
      </c>
      <c r="J15" s="121"/>
    </row>
    <row r="16" spans="2:10" ht="41.25" customHeight="1" x14ac:dyDescent="0.2">
      <c r="B16" s="667" t="s">
        <v>241</v>
      </c>
      <c r="C16" s="667"/>
      <c r="D16" s="39">
        <v>0.77780000000000005</v>
      </c>
      <c r="E16" s="39">
        <v>0.85709999999999997</v>
      </c>
      <c r="F16" s="39">
        <v>0.69230000000000003</v>
      </c>
      <c r="G16" s="369">
        <v>0.66669999999999996</v>
      </c>
      <c r="H16" s="29">
        <v>57.14</v>
      </c>
      <c r="I16" s="29" t="s">
        <v>254</v>
      </c>
      <c r="J16" s="121"/>
    </row>
    <row r="17" spans="2:9" ht="41.25" customHeight="1" x14ac:dyDescent="0.2">
      <c r="B17" s="667" t="s">
        <v>330</v>
      </c>
      <c r="C17" s="667"/>
      <c r="D17" s="29" t="s">
        <v>231</v>
      </c>
      <c r="E17" s="29" t="s">
        <v>231</v>
      </c>
      <c r="F17" s="29" t="s">
        <v>231</v>
      </c>
      <c r="G17" s="369">
        <v>1</v>
      </c>
      <c r="H17" s="29">
        <v>66.67</v>
      </c>
      <c r="I17" s="29" t="s">
        <v>254</v>
      </c>
    </row>
    <row r="18" spans="2:9" ht="41.25" customHeight="1" x14ac:dyDescent="0.2">
      <c r="B18" s="667" t="s">
        <v>331</v>
      </c>
      <c r="C18" s="667"/>
      <c r="D18" s="39">
        <v>0.25</v>
      </c>
      <c r="E18" s="39">
        <v>0.71430000000000005</v>
      </c>
      <c r="F18" s="29" t="s">
        <v>231</v>
      </c>
      <c r="G18" s="369">
        <v>0.5</v>
      </c>
      <c r="H18" s="29">
        <v>87.5</v>
      </c>
      <c r="I18" s="29" t="s">
        <v>254</v>
      </c>
    </row>
    <row r="19" spans="2:9" ht="41.25" customHeight="1" x14ac:dyDescent="0.2">
      <c r="B19" s="667" t="s">
        <v>244</v>
      </c>
      <c r="C19" s="667"/>
      <c r="D19" s="39">
        <v>0.6</v>
      </c>
      <c r="E19" s="29" t="s">
        <v>231</v>
      </c>
      <c r="F19" s="29" t="s">
        <v>231</v>
      </c>
      <c r="G19" s="63" t="s">
        <v>231</v>
      </c>
      <c r="H19" s="39">
        <v>0.57140000000000002</v>
      </c>
      <c r="I19" s="39" t="s">
        <v>254</v>
      </c>
    </row>
    <row r="20" spans="2:9" ht="41.25" customHeight="1" x14ac:dyDescent="0.3">
      <c r="B20" s="852" t="s">
        <v>594</v>
      </c>
      <c r="C20" s="853"/>
      <c r="D20" s="39" t="s">
        <v>231</v>
      </c>
      <c r="E20" s="29" t="s">
        <v>231</v>
      </c>
      <c r="F20" s="29" t="s">
        <v>231</v>
      </c>
      <c r="G20" s="63" t="s">
        <v>231</v>
      </c>
      <c r="H20" s="55">
        <v>1</v>
      </c>
      <c r="I20" s="55" t="s">
        <v>254</v>
      </c>
    </row>
    <row r="21" spans="2:9" ht="41.25" customHeight="1" x14ac:dyDescent="0.2">
      <c r="B21" s="667" t="s">
        <v>246</v>
      </c>
      <c r="C21" s="667"/>
      <c r="D21" s="39">
        <v>1</v>
      </c>
      <c r="E21" s="39">
        <v>0.64290000000000003</v>
      </c>
      <c r="F21" s="39">
        <v>0.54549999999999998</v>
      </c>
      <c r="G21" s="369">
        <v>0.8</v>
      </c>
      <c r="H21" s="39">
        <v>0.66669999999999996</v>
      </c>
      <c r="I21" s="39" t="s">
        <v>254</v>
      </c>
    </row>
    <row r="22" spans="2:9" ht="41.25" customHeight="1" x14ac:dyDescent="0.2">
      <c r="B22" s="667" t="s">
        <v>247</v>
      </c>
      <c r="C22" s="667"/>
      <c r="D22" s="39">
        <v>0.63639999999999997</v>
      </c>
      <c r="E22" s="39">
        <v>0.55559999999999998</v>
      </c>
      <c r="F22" s="39">
        <v>0.73329999999999995</v>
      </c>
      <c r="G22" s="369">
        <v>0.5</v>
      </c>
      <c r="H22" s="39">
        <v>0.72729999999999995</v>
      </c>
      <c r="I22" s="29" t="s">
        <v>254</v>
      </c>
    </row>
    <row r="23" spans="2:9" ht="41.25" customHeight="1" x14ac:dyDescent="0.2">
      <c r="B23" s="667" t="s">
        <v>248</v>
      </c>
      <c r="C23" s="667"/>
      <c r="D23" s="39">
        <v>0.5806</v>
      </c>
      <c r="E23" s="39">
        <v>0.74070000000000003</v>
      </c>
      <c r="F23" s="39">
        <v>0.66669999999999996</v>
      </c>
      <c r="G23" s="369">
        <v>1</v>
      </c>
      <c r="H23" s="39">
        <v>0.84240000000000004</v>
      </c>
      <c r="I23" s="29" t="s">
        <v>254</v>
      </c>
    </row>
    <row r="24" spans="2:9" ht="41.25" customHeight="1" x14ac:dyDescent="0.2">
      <c r="B24" s="667" t="s">
        <v>261</v>
      </c>
      <c r="C24" s="667"/>
      <c r="D24" s="29" t="s">
        <v>231</v>
      </c>
      <c r="E24" s="29" t="s">
        <v>231</v>
      </c>
      <c r="F24" s="39">
        <v>0.5</v>
      </c>
      <c r="G24" s="63" t="s">
        <v>231</v>
      </c>
      <c r="H24" s="39">
        <v>0.84209999999999996</v>
      </c>
      <c r="I24" s="29" t="s">
        <v>254</v>
      </c>
    </row>
    <row r="25" spans="2:9" ht="41.25" customHeight="1" x14ac:dyDescent="0.2">
      <c r="B25" s="731" t="s">
        <v>292</v>
      </c>
      <c r="C25" s="731"/>
      <c r="D25" s="79" t="s">
        <v>231</v>
      </c>
      <c r="E25" s="79" t="s">
        <v>231</v>
      </c>
      <c r="F25" s="79" t="s">
        <v>231</v>
      </c>
      <c r="G25" s="232" t="s">
        <v>231</v>
      </c>
      <c r="H25" s="39">
        <v>0.625</v>
      </c>
      <c r="I25" s="39" t="s">
        <v>254</v>
      </c>
    </row>
    <row r="26" spans="2:9" ht="41.25" customHeight="1" x14ac:dyDescent="0.2">
      <c r="B26" s="667" t="s">
        <v>275</v>
      </c>
      <c r="C26" s="667"/>
      <c r="D26" s="29" t="s">
        <v>231</v>
      </c>
      <c r="E26" s="29" t="s">
        <v>231</v>
      </c>
      <c r="F26" s="39">
        <v>1</v>
      </c>
      <c r="G26" s="63" t="s">
        <v>231</v>
      </c>
      <c r="H26" s="39">
        <v>0.72729999999999995</v>
      </c>
      <c r="I26" s="55" t="s">
        <v>254</v>
      </c>
    </row>
    <row r="27" spans="2:9" ht="41.25" customHeight="1" x14ac:dyDescent="0.2">
      <c r="B27" s="667" t="s">
        <v>264</v>
      </c>
      <c r="C27" s="667"/>
      <c r="D27" s="29" t="s">
        <v>231</v>
      </c>
      <c r="E27" s="29" t="s">
        <v>231</v>
      </c>
      <c r="F27" s="29" t="s">
        <v>231</v>
      </c>
      <c r="G27" s="369" t="s">
        <v>231</v>
      </c>
      <c r="H27" s="55">
        <v>0.5</v>
      </c>
      <c r="I27" s="39" t="s">
        <v>254</v>
      </c>
    </row>
    <row r="28" spans="2:9" ht="41.25" customHeight="1" x14ac:dyDescent="0.2">
      <c r="B28" s="667" t="s">
        <v>277</v>
      </c>
      <c r="C28" s="667"/>
      <c r="D28" s="29" t="s">
        <v>231</v>
      </c>
      <c r="E28" s="29" t="s">
        <v>231</v>
      </c>
      <c r="F28" s="29" t="s">
        <v>231</v>
      </c>
      <c r="G28" s="369" t="s">
        <v>231</v>
      </c>
      <c r="H28" s="39">
        <v>0.77780000000000005</v>
      </c>
      <c r="I28" s="39" t="s">
        <v>254</v>
      </c>
    </row>
    <row r="29" spans="2:9" ht="41.25" customHeight="1" x14ac:dyDescent="0.2">
      <c r="B29" s="667" t="s">
        <v>265</v>
      </c>
      <c r="C29" s="667"/>
      <c r="D29" s="29" t="s">
        <v>231</v>
      </c>
      <c r="E29" s="29" t="s">
        <v>231</v>
      </c>
      <c r="F29" s="29" t="s">
        <v>231</v>
      </c>
      <c r="G29" s="63" t="s">
        <v>231</v>
      </c>
      <c r="H29" s="29" t="s">
        <v>231</v>
      </c>
      <c r="I29" s="29" t="s">
        <v>254</v>
      </c>
    </row>
    <row r="30" spans="2:9" ht="41.25" customHeight="1" x14ac:dyDescent="0.2">
      <c r="B30" s="667" t="s">
        <v>279</v>
      </c>
      <c r="C30" s="667"/>
      <c r="D30" s="29" t="s">
        <v>231</v>
      </c>
      <c r="E30" s="29" t="s">
        <v>231</v>
      </c>
      <c r="F30" s="29" t="s">
        <v>231</v>
      </c>
      <c r="G30" s="369">
        <v>0.33329999999999999</v>
      </c>
      <c r="H30" s="39">
        <v>0.69230000000000003</v>
      </c>
      <c r="I30" s="29" t="s">
        <v>254</v>
      </c>
    </row>
    <row r="31" spans="2:9" ht="22.5" customHeight="1" x14ac:dyDescent="0.2">
      <c r="B31" s="860" t="s">
        <v>595</v>
      </c>
      <c r="D31" s="77">
        <f>COUNTIF(D13:D30,"&gt;=65%")</f>
        <v>2</v>
      </c>
      <c r="E31" s="77">
        <f t="shared" ref="E31:G31" si="0">COUNTIF(E13:E30,"&gt;=65%")</f>
        <v>4</v>
      </c>
      <c r="F31" s="77">
        <f t="shared" si="0"/>
        <v>6</v>
      </c>
      <c r="G31" s="370">
        <f t="shared" si="0"/>
        <v>5</v>
      </c>
      <c r="H31" s="77">
        <f>COUNTIF(H13:H23,"&gt;=65%")</f>
        <v>9</v>
      </c>
      <c r="I31" s="77">
        <f>COUNTIF(I13:I23,"&gt;=65%")</f>
        <v>0</v>
      </c>
    </row>
    <row r="32" spans="2:9" ht="22.5" customHeight="1" x14ac:dyDescent="0.2">
      <c r="B32" s="861"/>
      <c r="C32" s="236"/>
      <c r="D32" s="78">
        <f t="shared" ref="D32:I32" si="1">COUNT(D13:D23)</f>
        <v>7</v>
      </c>
      <c r="E32" s="78">
        <f t="shared" si="1"/>
        <v>6</v>
      </c>
      <c r="F32" s="78">
        <f t="shared" si="1"/>
        <v>7</v>
      </c>
      <c r="G32" s="371">
        <f t="shared" si="1"/>
        <v>8</v>
      </c>
      <c r="H32" s="78">
        <f t="shared" si="1"/>
        <v>11</v>
      </c>
      <c r="I32" s="78">
        <f t="shared" si="1"/>
        <v>0</v>
      </c>
    </row>
    <row r="33" spans="2:11" ht="22.5" customHeight="1" x14ac:dyDescent="0.2">
      <c r="B33" s="240" t="s">
        <v>596</v>
      </c>
      <c r="C33" s="239">
        <v>0.65</v>
      </c>
      <c r="D33" s="239">
        <v>0.65</v>
      </c>
      <c r="E33" s="239">
        <v>0.65</v>
      </c>
      <c r="F33" s="239">
        <v>0.65</v>
      </c>
      <c r="G33" s="372">
        <v>0.65</v>
      </c>
      <c r="H33" s="239">
        <v>0.65</v>
      </c>
      <c r="I33" s="239">
        <v>0.65</v>
      </c>
    </row>
    <row r="34" spans="2:11" ht="22.5" customHeight="1" x14ac:dyDescent="0.2">
      <c r="B34" s="237" t="s">
        <v>597</v>
      </c>
      <c r="C34" s="241"/>
      <c r="D34" s="125">
        <f t="shared" ref="D34:I34" si="2">COUNTIF(D24:D30,"&gt;=85%")</f>
        <v>0</v>
      </c>
      <c r="E34" s="125">
        <f t="shared" si="2"/>
        <v>0</v>
      </c>
      <c r="F34" s="125">
        <f t="shared" si="2"/>
        <v>1</v>
      </c>
      <c r="G34" s="373">
        <f t="shared" si="2"/>
        <v>0</v>
      </c>
      <c r="H34" s="125">
        <f t="shared" si="2"/>
        <v>0</v>
      </c>
      <c r="I34" s="125">
        <f t="shared" si="2"/>
        <v>0</v>
      </c>
      <c r="K34" s="68" t="s">
        <v>228</v>
      </c>
    </row>
    <row r="35" spans="2:11" ht="22.5" customHeight="1" x14ac:dyDescent="0.2">
      <c r="B35" s="237"/>
      <c r="C35" s="237"/>
      <c r="D35" s="125">
        <f t="shared" ref="D35:I35" si="3">COUNT(D24:D30)</f>
        <v>0</v>
      </c>
      <c r="E35" s="125">
        <f t="shared" si="3"/>
        <v>0</v>
      </c>
      <c r="F35" s="125">
        <f t="shared" si="3"/>
        <v>2</v>
      </c>
      <c r="G35" s="373">
        <f t="shared" si="3"/>
        <v>1</v>
      </c>
      <c r="H35" s="125">
        <f t="shared" si="3"/>
        <v>6</v>
      </c>
      <c r="I35" s="125">
        <f t="shared" si="3"/>
        <v>0</v>
      </c>
      <c r="K35" s="7"/>
    </row>
    <row r="36" spans="2:11" ht="22.5" customHeight="1" x14ac:dyDescent="0.2">
      <c r="B36" s="242" t="s">
        <v>598</v>
      </c>
      <c r="C36" s="238">
        <v>0.85</v>
      </c>
      <c r="D36" s="238">
        <v>0.85</v>
      </c>
      <c r="E36" s="238">
        <v>0.85</v>
      </c>
      <c r="F36" s="238">
        <v>0.85</v>
      </c>
      <c r="G36" s="374">
        <v>0.85</v>
      </c>
      <c r="H36" s="238">
        <v>0.85</v>
      </c>
      <c r="I36" s="238">
        <v>0.85</v>
      </c>
      <c r="K36" s="7"/>
    </row>
    <row r="37" spans="2:11" ht="22.5" customHeight="1" x14ac:dyDescent="0.2">
      <c r="B37" s="113" t="s">
        <v>599</v>
      </c>
      <c r="C37" s="234"/>
      <c r="D37" s="75">
        <v>0</v>
      </c>
      <c r="E37" s="75">
        <v>0</v>
      </c>
      <c r="F37" s="75">
        <f>F34/F35</f>
        <v>0.5</v>
      </c>
      <c r="G37" s="375">
        <f t="shared" ref="G37:H37" si="4">G34/G35</f>
        <v>0</v>
      </c>
      <c r="H37" s="235">
        <f t="shared" si="4"/>
        <v>0</v>
      </c>
      <c r="I37" s="235" t="e">
        <f t="shared" ref="I37" si="5">I34/I35</f>
        <v>#DIV/0!</v>
      </c>
      <c r="K37" s="721" t="s">
        <v>600</v>
      </c>
    </row>
    <row r="38" spans="2:11" ht="22.5" customHeight="1" x14ac:dyDescent="0.2">
      <c r="B38" s="640" t="s">
        <v>601</v>
      </c>
      <c r="C38" s="706"/>
      <c r="D38" s="46">
        <f t="shared" ref="D38:I38" si="6">D31/D32</f>
        <v>0.2857142857142857</v>
      </c>
      <c r="E38" s="46">
        <f t="shared" si="6"/>
        <v>0.66666666666666663</v>
      </c>
      <c r="F38" s="46">
        <f t="shared" si="6"/>
        <v>0.8571428571428571</v>
      </c>
      <c r="G38" s="263">
        <f t="shared" si="6"/>
        <v>0.625</v>
      </c>
      <c r="H38" s="46">
        <f t="shared" si="6"/>
        <v>0.81818181818181823</v>
      </c>
      <c r="I38" s="46" t="e">
        <f t="shared" si="6"/>
        <v>#DIV/0!</v>
      </c>
      <c r="K38" s="724"/>
    </row>
    <row r="39" spans="2:11" ht="22.5" customHeight="1" x14ac:dyDescent="0.25">
      <c r="B39" s="5"/>
      <c r="C39" s="5"/>
      <c r="D39" s="4"/>
      <c r="E39" s="4"/>
      <c r="F39" s="4"/>
      <c r="G39" s="4"/>
      <c r="H39" s="4"/>
      <c r="I39" s="4"/>
      <c r="K39" s="724"/>
    </row>
    <row r="40" spans="2:11" ht="22.5" customHeight="1" x14ac:dyDescent="0.2">
      <c r="B40" s="859" t="s">
        <v>227</v>
      </c>
      <c r="C40" s="573"/>
      <c r="D40" s="573"/>
      <c r="E40" s="574"/>
      <c r="F40" s="6"/>
      <c r="K40" s="724"/>
    </row>
    <row r="41" spans="2:11" ht="22.5" customHeight="1" x14ac:dyDescent="0.2">
      <c r="B41" s="6"/>
      <c r="C41" s="6"/>
      <c r="D41" s="6"/>
      <c r="E41" s="6"/>
      <c r="F41" s="6"/>
      <c r="K41" s="724"/>
    </row>
    <row r="42" spans="2:11" ht="6" customHeight="1" x14ac:dyDescent="0.2">
      <c r="B42" s="6"/>
      <c r="C42" s="6"/>
      <c r="D42" s="6"/>
      <c r="E42" s="6"/>
      <c r="F42" s="6"/>
      <c r="K42" s="724"/>
    </row>
    <row r="52" spans="8:10" ht="19.5" customHeight="1" x14ac:dyDescent="0.2">
      <c r="H52" s="568" t="s">
        <v>169</v>
      </c>
      <c r="I52" s="569"/>
      <c r="J52" s="569"/>
    </row>
  </sheetData>
  <sheetProtection sheet="1" formatCells="0" formatColumns="0" formatRows="0" insertColumns="0" insertRows="0" insertHyperlinks="0" deleteColumns="0" deleteRows="0" pivotTables="0"/>
  <mergeCells count="39">
    <mergeCell ref="K37:K42"/>
    <mergeCell ref="B19:C19"/>
    <mergeCell ref="B21:C21"/>
    <mergeCell ref="B22:C22"/>
    <mergeCell ref="B23:C23"/>
    <mergeCell ref="B29:C29"/>
    <mergeCell ref="B20:C20"/>
    <mergeCell ref="B24:C24"/>
    <mergeCell ref="B25:C25"/>
    <mergeCell ref="B26:C26"/>
    <mergeCell ref="B27:C27"/>
    <mergeCell ref="B28:C28"/>
    <mergeCell ref="H52:J52"/>
    <mergeCell ref="B38:C38"/>
    <mergeCell ref="B40:E40"/>
    <mergeCell ref="B31:B32"/>
    <mergeCell ref="B30:C30"/>
    <mergeCell ref="B18:C18"/>
    <mergeCell ref="B5:C5"/>
    <mergeCell ref="D5:E5"/>
    <mergeCell ref="F5:G5"/>
    <mergeCell ref="H5:J5"/>
    <mergeCell ref="B6:C6"/>
    <mergeCell ref="D6:E6"/>
    <mergeCell ref="F6:G6"/>
    <mergeCell ref="B17:C17"/>
    <mergeCell ref="B7:C7"/>
    <mergeCell ref="D7:J7"/>
    <mergeCell ref="B9:J9"/>
    <mergeCell ref="B13:C13"/>
    <mergeCell ref="B14:C14"/>
    <mergeCell ref="B15:C15"/>
    <mergeCell ref="B16:C16"/>
    <mergeCell ref="B2:D2"/>
    <mergeCell ref="E2:J2"/>
    <mergeCell ref="B4:C4"/>
    <mergeCell ref="D4:E4"/>
    <mergeCell ref="F4:G4"/>
    <mergeCell ref="H4:J4"/>
  </mergeCells>
  <conditionalFormatting sqref="D24:H27 D28:I30">
    <cfRule type="cellIs" dxfId="5" priority="1" operator="lessThan">
      <formula>0.85</formula>
    </cfRule>
  </conditionalFormatting>
  <conditionalFormatting sqref="D13:I21 D22:H23 I22:I27">
    <cfRule type="cellIs" dxfId="4" priority="2" operator="lessThan">
      <formula>0.65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3332-660B-4E4D-B5D6-B1E731B48939}">
  <sheetPr>
    <tabColor theme="9" tint="-0.499984740745262"/>
  </sheetPr>
  <dimension ref="A2:I19"/>
  <sheetViews>
    <sheetView workbookViewId="0">
      <selection activeCell="I6" sqref="I6"/>
    </sheetView>
  </sheetViews>
  <sheetFormatPr defaultColWidth="9.140625" defaultRowHeight="12.75" x14ac:dyDescent="0.2"/>
  <cols>
    <col min="3" max="3" width="13.140625" customWidth="1"/>
    <col min="4" max="4" width="15.140625" customWidth="1"/>
    <col min="5" max="5" width="16.28515625" customWidth="1"/>
    <col min="6" max="6" width="14" customWidth="1"/>
    <col min="7" max="7" width="15.28515625" customWidth="1"/>
  </cols>
  <sheetData>
    <row r="2" spans="1:9" ht="43.5" customHeight="1" x14ac:dyDescent="0.25">
      <c r="A2" s="543"/>
      <c r="B2" s="544"/>
      <c r="C2" s="545"/>
      <c r="D2" s="546" t="s">
        <v>207</v>
      </c>
      <c r="E2" s="544"/>
      <c r="F2" s="544"/>
      <c r="G2" s="544"/>
      <c r="H2" s="544"/>
      <c r="I2" s="545"/>
    </row>
    <row r="3" spans="1:9" ht="16.5" x14ac:dyDescent="0.25">
      <c r="A3" s="281"/>
      <c r="B3" s="281"/>
      <c r="C3" s="282"/>
      <c r="D3" s="282"/>
      <c r="E3" s="282"/>
      <c r="F3" s="282"/>
      <c r="G3" s="282"/>
      <c r="H3" s="282"/>
      <c r="I3" s="279"/>
    </row>
    <row r="4" spans="1:9" ht="54" customHeight="1" x14ac:dyDescent="0.25">
      <c r="A4" s="547" t="s">
        <v>208</v>
      </c>
      <c r="B4" s="548"/>
      <c r="C4" s="549" t="e">
        <f>#REF!</f>
        <v>#REF!</v>
      </c>
      <c r="D4" s="545"/>
      <c r="E4" s="547" t="s">
        <v>209</v>
      </c>
      <c r="F4" s="548"/>
      <c r="G4" s="549" t="e">
        <f>#REF!</f>
        <v>#REF!</v>
      </c>
      <c r="H4" s="544"/>
      <c r="I4" s="545"/>
    </row>
    <row r="5" spans="1:9" ht="29.25" customHeight="1" x14ac:dyDescent="0.25">
      <c r="A5" s="547" t="s">
        <v>210</v>
      </c>
      <c r="B5" s="548"/>
      <c r="C5" s="595" t="e">
        <f>#REF!</f>
        <v>#REF!</v>
      </c>
      <c r="D5" s="545"/>
      <c r="E5" s="552" t="s">
        <v>211</v>
      </c>
      <c r="F5" s="548"/>
      <c r="G5" s="596" t="s">
        <v>212</v>
      </c>
      <c r="H5" s="585"/>
      <c r="I5" s="586"/>
    </row>
    <row r="6" spans="1:9" ht="27" customHeight="1" x14ac:dyDescent="0.25">
      <c r="A6" s="547" t="s">
        <v>213</v>
      </c>
      <c r="B6" s="548"/>
      <c r="C6" s="549" t="s">
        <v>214</v>
      </c>
      <c r="D6" s="545"/>
      <c r="E6" s="547" t="s">
        <v>215</v>
      </c>
      <c r="F6" s="556"/>
      <c r="G6" s="283" t="e">
        <f>#REF!</f>
        <v>#REF!</v>
      </c>
      <c r="H6" s="284"/>
      <c r="I6" s="285"/>
    </row>
    <row r="7" spans="1:9" ht="27.75" customHeight="1" x14ac:dyDescent="0.25">
      <c r="A7" s="547" t="s">
        <v>216</v>
      </c>
      <c r="B7" s="548"/>
      <c r="C7" s="549" t="e">
        <f>#REF!</f>
        <v>#REF!</v>
      </c>
      <c r="D7" s="544"/>
      <c r="E7" s="544"/>
      <c r="F7" s="544"/>
      <c r="G7" s="544"/>
      <c r="H7" s="544"/>
      <c r="I7" s="545"/>
    </row>
    <row r="8" spans="1:9" ht="13.5" x14ac:dyDescent="0.25">
      <c r="A8" s="279"/>
      <c r="B8" s="279"/>
      <c r="C8" s="279"/>
      <c r="D8" s="279"/>
      <c r="E8" s="279"/>
      <c r="F8" s="279"/>
      <c r="G8" s="279"/>
      <c r="H8" s="279"/>
      <c r="I8" s="279"/>
    </row>
    <row r="9" spans="1:9" ht="13.5" x14ac:dyDescent="0.25">
      <c r="A9" s="547" t="s">
        <v>217</v>
      </c>
      <c r="B9" s="556"/>
      <c r="C9" s="556"/>
      <c r="D9" s="556"/>
      <c r="E9" s="556"/>
      <c r="F9" s="556"/>
      <c r="G9" s="556"/>
      <c r="H9" s="556"/>
      <c r="I9" s="548"/>
    </row>
    <row r="10" spans="1:9" ht="13.5" x14ac:dyDescent="0.25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ht="14.25" thickBot="1" x14ac:dyDescent="0.3">
      <c r="A11" s="286"/>
      <c r="B11" s="286"/>
      <c r="C11" s="286"/>
      <c r="D11" s="286"/>
      <c r="E11" s="286"/>
      <c r="F11" s="286"/>
      <c r="G11" s="286"/>
      <c r="H11" s="286"/>
      <c r="I11" s="286"/>
    </row>
    <row r="12" spans="1:9" ht="30" customHeight="1" thickBot="1" x14ac:dyDescent="0.3">
      <c r="A12" s="279"/>
      <c r="B12" s="309"/>
      <c r="C12" s="154" t="s">
        <v>219</v>
      </c>
      <c r="D12" s="158" t="s">
        <v>220</v>
      </c>
      <c r="E12" s="351" t="s">
        <v>221</v>
      </c>
      <c r="F12" s="354" t="s">
        <v>222</v>
      </c>
      <c r="G12" s="352" t="s">
        <v>223</v>
      </c>
      <c r="H12" s="279"/>
      <c r="I12" s="279"/>
    </row>
    <row r="13" spans="1:9" ht="15" thickBot="1" x14ac:dyDescent="0.3">
      <c r="A13" s="593" t="s">
        <v>224</v>
      </c>
      <c r="B13" s="594"/>
      <c r="C13" s="155">
        <v>2</v>
      </c>
      <c r="D13" s="155">
        <v>2</v>
      </c>
      <c r="E13" s="159">
        <v>2</v>
      </c>
      <c r="F13" s="353">
        <v>2</v>
      </c>
      <c r="G13" s="353">
        <v>2</v>
      </c>
      <c r="H13" s="279"/>
      <c r="I13" s="279"/>
    </row>
    <row r="14" spans="1:9" ht="15" thickBot="1" x14ac:dyDescent="0.3">
      <c r="A14" s="593" t="s">
        <v>4</v>
      </c>
      <c r="B14" s="594"/>
      <c r="C14" s="156">
        <v>2</v>
      </c>
      <c r="D14" s="156">
        <v>2</v>
      </c>
      <c r="E14" s="160">
        <v>2</v>
      </c>
      <c r="F14" s="353">
        <v>2</v>
      </c>
      <c r="G14" s="353">
        <v>2</v>
      </c>
      <c r="H14" s="286"/>
      <c r="I14" s="286"/>
    </row>
    <row r="15" spans="1:9" ht="15" thickBot="1" x14ac:dyDescent="0.3">
      <c r="A15" s="593" t="s">
        <v>234</v>
      </c>
      <c r="B15" s="594"/>
      <c r="C15" s="157">
        <v>1</v>
      </c>
      <c r="D15" s="157">
        <v>1</v>
      </c>
      <c r="E15" s="161">
        <v>1</v>
      </c>
      <c r="F15" s="355">
        <v>1</v>
      </c>
      <c r="G15" s="356">
        <v>1</v>
      </c>
      <c r="H15" s="279"/>
      <c r="I15" s="279"/>
    </row>
    <row r="19" spans="1:4" x14ac:dyDescent="0.2">
      <c r="A19" s="572" t="s">
        <v>227</v>
      </c>
      <c r="B19" s="573"/>
      <c r="C19" s="573"/>
      <c r="D19" s="574"/>
    </row>
  </sheetData>
  <sheetProtection algorithmName="SHA-512" hashValue="5ra8NexFdwzBiqQGXOvr5AC/r3UdcFNtY20EdGObba+MbIQfw4zpYE3Y1xw77CH9H4ujt/2r3s7p7vIpPQmC2A==" saltValue="UwYNfcrFbqYxefSeDrRdQQ==" spinCount="100000" sheet="1" formatCells="0" formatColumns="0" formatRows="0" insertColumns="0" insertRows="0" insertHyperlinks="0" deleteColumns="0" deleteRows="0" pivotTables="0"/>
  <mergeCells count="20">
    <mergeCell ref="A2:C2"/>
    <mergeCell ref="D2:I2"/>
    <mergeCell ref="A4:B4"/>
    <mergeCell ref="C4:D4"/>
    <mergeCell ref="E4:F4"/>
    <mergeCell ref="G4:I4"/>
    <mergeCell ref="A5:B5"/>
    <mergeCell ref="C5:D5"/>
    <mergeCell ref="E5:F5"/>
    <mergeCell ref="G5:I5"/>
    <mergeCell ref="A6:B6"/>
    <mergeCell ref="C6:D6"/>
    <mergeCell ref="E6:F6"/>
    <mergeCell ref="A7:B7"/>
    <mergeCell ref="C7:I7"/>
    <mergeCell ref="A9:I9"/>
    <mergeCell ref="A13:B13"/>
    <mergeCell ref="A19:D19"/>
    <mergeCell ref="A14:B14"/>
    <mergeCell ref="A15:B15"/>
  </mergeCell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8A62-79E9-4702-8801-82DCCC6891CF}">
  <sheetPr>
    <tabColor theme="9" tint="-0.499984740745262"/>
    <pageSetUpPr fitToPage="1"/>
  </sheetPr>
  <dimension ref="B2:K28"/>
  <sheetViews>
    <sheetView showGridLines="0" topLeftCell="A6" workbookViewId="0">
      <selection activeCell="H13" sqref="H13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1" width="25.28515625" customWidth="1"/>
    <col min="12" max="21" width="7.5703125" customWidth="1"/>
  </cols>
  <sheetData>
    <row r="2" spans="2:11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  <c r="K2" s="1"/>
    </row>
    <row r="3" spans="2:11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1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1" ht="22.5" customHeight="1" x14ac:dyDescent="0.2">
      <c r="B5" s="572" t="s">
        <v>317</v>
      </c>
      <c r="C5" s="574"/>
      <c r="D5" s="707" t="e">
        <f>#REF!</f>
        <v>#REF!</v>
      </c>
      <c r="E5" s="658"/>
      <c r="F5" s="687" t="s">
        <v>211</v>
      </c>
      <c r="G5" s="574"/>
      <c r="H5" s="745" t="s">
        <v>588</v>
      </c>
      <c r="I5" s="650"/>
      <c r="J5" s="612"/>
    </row>
    <row r="6" spans="2:11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1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1" ht="7.5" customHeight="1" x14ac:dyDescent="0.2"/>
    <row r="9" spans="2:11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1" ht="22.5" customHeight="1" x14ac:dyDescent="0.2">
      <c r="B10" s="18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1" ht="22.5" customHeight="1" x14ac:dyDescent="0.2">
      <c r="D11" s="98" t="s">
        <v>218</v>
      </c>
      <c r="E11" s="98" t="s">
        <v>219</v>
      </c>
      <c r="F11" s="98" t="s">
        <v>220</v>
      </c>
      <c r="G11" s="98" t="s">
        <v>221</v>
      </c>
      <c r="H11" s="98" t="s">
        <v>222</v>
      </c>
      <c r="I11" s="98" t="s">
        <v>223</v>
      </c>
      <c r="J11" s="11"/>
    </row>
    <row r="12" spans="2:11" ht="22.5" customHeight="1" x14ac:dyDescent="0.2">
      <c r="C12" s="121"/>
      <c r="D12" s="62">
        <v>1</v>
      </c>
      <c r="E12" s="62">
        <v>0.8</v>
      </c>
      <c r="F12" s="62">
        <v>0.82</v>
      </c>
      <c r="G12" s="62">
        <v>1</v>
      </c>
      <c r="H12" s="62">
        <v>1</v>
      </c>
      <c r="I12" s="62">
        <v>1</v>
      </c>
      <c r="J12" s="11"/>
    </row>
    <row r="13" spans="2:11" ht="22.5" customHeight="1" x14ac:dyDescent="0.2">
      <c r="B13" s="28" t="s">
        <v>169</v>
      </c>
      <c r="C13" s="116" t="s">
        <v>226</v>
      </c>
      <c r="D13" s="50">
        <f>COUNTIF(D12,"=100%")</f>
        <v>1</v>
      </c>
      <c r="E13" s="50">
        <v>0.8</v>
      </c>
      <c r="F13" s="50">
        <v>0.8</v>
      </c>
      <c r="G13" s="50">
        <f>COUNTIF(G12,"=100%")</f>
        <v>1</v>
      </c>
      <c r="H13" s="50">
        <v>1</v>
      </c>
      <c r="I13" s="50">
        <v>1</v>
      </c>
    </row>
    <row r="14" spans="2:11" ht="22.5" customHeight="1" x14ac:dyDescent="0.2">
      <c r="B14" s="64"/>
      <c r="C14" s="214" t="s">
        <v>225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</row>
    <row r="15" spans="2:11" ht="22.5" customHeight="1" x14ac:dyDescent="0.2">
      <c r="B15" s="64"/>
      <c r="C15" s="65"/>
      <c r="D15" s="64"/>
      <c r="E15" s="64"/>
      <c r="F15" s="64"/>
      <c r="G15" s="11"/>
      <c r="K15" s="68" t="s">
        <v>228</v>
      </c>
    </row>
    <row r="16" spans="2:11" ht="22.5" customHeight="1" x14ac:dyDescent="0.2">
      <c r="B16" s="572" t="s">
        <v>227</v>
      </c>
      <c r="C16" s="573"/>
      <c r="D16" s="573"/>
      <c r="E16" s="574"/>
      <c r="F16" s="6"/>
      <c r="K16" s="7"/>
    </row>
    <row r="17" spans="2:11" ht="22.5" customHeight="1" x14ac:dyDescent="0.2">
      <c r="B17" s="6"/>
      <c r="C17" s="6"/>
      <c r="D17" s="6"/>
      <c r="E17" s="6"/>
      <c r="F17" s="6"/>
      <c r="K17" s="148" t="s">
        <v>169</v>
      </c>
    </row>
    <row r="18" spans="2:11" ht="6" customHeight="1" x14ac:dyDescent="0.2">
      <c r="B18" s="6"/>
      <c r="C18" s="6"/>
      <c r="D18" s="6"/>
      <c r="E18" s="6"/>
      <c r="F18" s="6"/>
      <c r="K18" s="143"/>
    </row>
    <row r="19" spans="2:11" ht="19.5" customHeight="1" x14ac:dyDescent="0.2">
      <c r="B19" s="6"/>
      <c r="C19" s="6"/>
      <c r="D19" s="6"/>
      <c r="E19" s="6"/>
      <c r="F19" s="6"/>
      <c r="K19" s="143"/>
    </row>
    <row r="20" spans="2:11" ht="19.5" customHeight="1" x14ac:dyDescent="0.2">
      <c r="B20" s="6"/>
      <c r="C20" s="6"/>
      <c r="D20" s="6"/>
      <c r="E20" s="6"/>
      <c r="F20" s="6"/>
      <c r="K20" s="143"/>
    </row>
    <row r="21" spans="2:11" ht="19.5" customHeight="1" x14ac:dyDescent="0.2">
      <c r="B21" s="6"/>
      <c r="C21" s="6"/>
      <c r="D21" s="6"/>
      <c r="E21" s="6"/>
      <c r="F21" s="6"/>
      <c r="K21" s="143"/>
    </row>
    <row r="22" spans="2:11" ht="19.5" customHeight="1" x14ac:dyDescent="0.2">
      <c r="B22" s="6"/>
      <c r="C22" s="6"/>
      <c r="D22" s="6"/>
      <c r="E22" s="6"/>
      <c r="F22" s="6"/>
      <c r="K22" s="143"/>
    </row>
    <row r="23" spans="2:11" ht="19.5" customHeight="1" x14ac:dyDescent="0.2">
      <c r="B23" s="6"/>
      <c r="C23" s="6"/>
      <c r="D23" s="6"/>
      <c r="E23" s="6"/>
      <c r="F23" s="6"/>
      <c r="K23" s="143"/>
    </row>
    <row r="24" spans="2:11" ht="19.5" customHeight="1" x14ac:dyDescent="0.2">
      <c r="B24" s="6"/>
      <c r="C24" s="6"/>
      <c r="D24" s="6"/>
      <c r="E24" s="6"/>
      <c r="F24" s="6"/>
      <c r="K24" s="143"/>
    </row>
    <row r="25" spans="2:11" ht="19.5" customHeight="1" x14ac:dyDescent="0.2">
      <c r="B25" s="6"/>
      <c r="C25" s="6"/>
      <c r="D25" s="6"/>
      <c r="E25" s="6"/>
      <c r="F25" s="6"/>
      <c r="K25" s="144"/>
    </row>
    <row r="26" spans="2:11" ht="19.5" customHeight="1" x14ac:dyDescent="0.2">
      <c r="B26" s="6"/>
      <c r="C26" s="6"/>
      <c r="D26" s="6"/>
      <c r="E26" s="6"/>
      <c r="F26" s="6"/>
    </row>
    <row r="27" spans="2:11" ht="19.5" customHeight="1" x14ac:dyDescent="0.2"/>
    <row r="28" spans="2:11" ht="19.5" customHeight="1" x14ac:dyDescent="0.2">
      <c r="H28" s="568" t="s">
        <v>169</v>
      </c>
      <c r="I28" s="569"/>
      <c r="J28" s="569"/>
    </row>
  </sheetData>
  <sheetProtection sheet="1" formatCells="0" formatColumns="0" formatRows="0" insertColumns="0" insertRows="0" insertHyperlinks="0" deleteColumns="0" deleteRows="0" pivotTables="0"/>
  <mergeCells count="18">
    <mergeCell ref="B9:J9"/>
    <mergeCell ref="B16:E16"/>
    <mergeCell ref="H28:J28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I13">
    <cfRule type="cellIs" dxfId="3" priority="1" operator="between">
      <formula>0</formula>
      <formula>0.899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C395-B8A4-49BC-A115-157806311B0C}">
  <sheetPr>
    <tabColor theme="9" tint="-0.499984740745262"/>
  </sheetPr>
  <dimension ref="A2:N28"/>
  <sheetViews>
    <sheetView topLeftCell="A3" workbookViewId="0">
      <selection activeCell="H12" sqref="H12"/>
    </sheetView>
  </sheetViews>
  <sheetFormatPr defaultColWidth="9.140625" defaultRowHeight="12.75" x14ac:dyDescent="0.2"/>
  <cols>
    <col min="1" max="1" width="1.42578125" bestFit="1" customWidth="1"/>
    <col min="2" max="2" width="23.42578125" customWidth="1"/>
    <col min="3" max="3" width="11.140625" customWidth="1"/>
    <col min="4" max="4" width="11.28515625" customWidth="1"/>
    <col min="5" max="5" width="10.5703125" customWidth="1"/>
    <col min="6" max="6" width="11.28515625" customWidth="1"/>
    <col min="7" max="7" width="11.42578125" customWidth="1"/>
    <col min="8" max="8" width="11.28515625" customWidth="1"/>
    <col min="9" max="9" width="33.85546875" customWidth="1"/>
  </cols>
  <sheetData>
    <row r="2" spans="1:9" ht="57.75" customHeight="1" x14ac:dyDescent="0.2">
      <c r="A2" s="659"/>
      <c r="B2" s="650"/>
      <c r="C2" s="658"/>
      <c r="D2" s="660" t="s">
        <v>207</v>
      </c>
      <c r="E2" s="650"/>
      <c r="F2" s="650"/>
      <c r="G2" s="650"/>
      <c r="H2" s="650"/>
      <c r="I2" s="658"/>
    </row>
    <row r="3" spans="1:9" ht="53.25" customHeight="1" x14ac:dyDescent="0.2">
      <c r="A3" s="44"/>
      <c r="B3" s="44"/>
      <c r="C3" s="45"/>
      <c r="D3" s="45"/>
      <c r="E3" s="45"/>
      <c r="F3" s="45"/>
      <c r="G3" s="45"/>
      <c r="H3" s="45"/>
    </row>
    <row r="4" spans="1:9" x14ac:dyDescent="0.2">
      <c r="A4" s="572" t="s">
        <v>208</v>
      </c>
      <c r="B4" s="574"/>
      <c r="C4" s="649" t="e">
        <f>#REF!</f>
        <v>#REF!</v>
      </c>
      <c r="D4" s="658"/>
      <c r="E4" s="572" t="s">
        <v>209</v>
      </c>
      <c r="F4" s="574"/>
      <c r="G4" s="649" t="e">
        <f>#REF!</f>
        <v>#REF!</v>
      </c>
      <c r="H4" s="650"/>
      <c r="I4" s="658"/>
    </row>
    <row r="5" spans="1:9" x14ac:dyDescent="0.2">
      <c r="A5" s="572" t="s">
        <v>317</v>
      </c>
      <c r="B5" s="574"/>
      <c r="C5" s="707" t="e">
        <f>#REF!</f>
        <v>#REF!</v>
      </c>
      <c r="D5" s="658"/>
      <c r="E5" s="687" t="s">
        <v>211</v>
      </c>
      <c r="F5" s="574"/>
      <c r="G5" s="745" t="s">
        <v>588</v>
      </c>
      <c r="H5" s="650"/>
      <c r="I5" s="612"/>
    </row>
    <row r="6" spans="1:9" x14ac:dyDescent="0.2">
      <c r="A6" s="572" t="s">
        <v>213</v>
      </c>
      <c r="B6" s="574"/>
      <c r="C6" s="649" t="s">
        <v>214</v>
      </c>
      <c r="D6" s="658"/>
      <c r="E6" s="572" t="s">
        <v>236</v>
      </c>
      <c r="F6" s="574"/>
      <c r="G6" s="10" t="e">
        <f>#REF!</f>
        <v>#REF!</v>
      </c>
      <c r="I6" s="103"/>
    </row>
    <row r="7" spans="1:9" x14ac:dyDescent="0.2">
      <c r="A7" s="572" t="s">
        <v>216</v>
      </c>
      <c r="B7" s="574"/>
      <c r="C7" s="707" t="e">
        <f>#REF!</f>
        <v>#REF!</v>
      </c>
      <c r="D7" s="650"/>
      <c r="E7" s="650"/>
      <c r="F7" s="650"/>
      <c r="G7" s="650"/>
      <c r="H7" s="650"/>
      <c r="I7" s="618"/>
    </row>
    <row r="9" spans="1:9" x14ac:dyDescent="0.2">
      <c r="A9" s="572" t="s">
        <v>217</v>
      </c>
      <c r="B9" s="573"/>
      <c r="C9" s="573"/>
      <c r="D9" s="573"/>
      <c r="E9" s="573"/>
      <c r="F9" s="573"/>
      <c r="G9" s="573"/>
      <c r="H9" s="573"/>
      <c r="I9" s="574"/>
    </row>
    <row r="10" spans="1:9" x14ac:dyDescent="0.2">
      <c r="A10" s="18" t="s">
        <v>169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C11" s="98" t="s">
        <v>218</v>
      </c>
      <c r="D11" s="98" t="s">
        <v>219</v>
      </c>
      <c r="E11" s="98" t="s">
        <v>220</v>
      </c>
      <c r="F11" s="98" t="s">
        <v>221</v>
      </c>
      <c r="G11" s="98" t="s">
        <v>222</v>
      </c>
      <c r="H11" s="98" t="s">
        <v>223</v>
      </c>
      <c r="I11" s="11"/>
    </row>
    <row r="12" spans="1:9" ht="13.5" x14ac:dyDescent="0.2">
      <c r="B12" s="121" t="s">
        <v>602</v>
      </c>
      <c r="C12" s="42">
        <v>11.19</v>
      </c>
      <c r="D12" s="42">
        <v>8.0500000000000007</v>
      </c>
      <c r="E12" s="42">
        <v>3.94</v>
      </c>
      <c r="F12" s="42">
        <v>5.72</v>
      </c>
      <c r="G12" s="42">
        <v>1</v>
      </c>
      <c r="H12" s="42">
        <v>3.8</v>
      </c>
      <c r="I12" s="11"/>
    </row>
    <row r="13" spans="1:9" ht="13.5" x14ac:dyDescent="0.2">
      <c r="A13" s="64"/>
      <c r="B13" s="214" t="s">
        <v>225</v>
      </c>
      <c r="C13" s="25">
        <v>15</v>
      </c>
      <c r="D13" s="25">
        <v>15</v>
      </c>
      <c r="E13" s="25">
        <v>15</v>
      </c>
      <c r="F13" s="25">
        <v>15</v>
      </c>
      <c r="G13" s="25">
        <v>15</v>
      </c>
      <c r="H13" s="25">
        <v>15</v>
      </c>
    </row>
    <row r="14" spans="1:9" ht="13.5" x14ac:dyDescent="0.2">
      <c r="A14" s="64"/>
      <c r="B14" s="116" t="s">
        <v>226</v>
      </c>
      <c r="C14" s="50">
        <f>COUNTIF(C12,"&lt;15")</f>
        <v>1</v>
      </c>
      <c r="D14" s="50">
        <f t="shared" ref="D14:G14" si="0">COUNTIF(D12,"&lt;15")</f>
        <v>1</v>
      </c>
      <c r="E14" s="50">
        <f t="shared" si="0"/>
        <v>1</v>
      </c>
      <c r="F14" s="50">
        <f t="shared" si="0"/>
        <v>1</v>
      </c>
      <c r="G14" s="50">
        <f t="shared" si="0"/>
        <v>1</v>
      </c>
      <c r="H14" s="50">
        <f t="shared" ref="H14" si="1">COUNTIF(H12,"&lt;15")</f>
        <v>1</v>
      </c>
    </row>
    <row r="15" spans="1:9" ht="13.5" x14ac:dyDescent="0.2">
      <c r="A15" s="64"/>
      <c r="B15" s="65"/>
      <c r="C15" s="64"/>
      <c r="D15" s="64"/>
      <c r="E15" s="64"/>
      <c r="F15" s="11"/>
    </row>
    <row r="16" spans="1:9" ht="20.25" x14ac:dyDescent="0.2">
      <c r="A16" s="572" t="s">
        <v>227</v>
      </c>
      <c r="B16" s="573"/>
      <c r="C16" s="573"/>
      <c r="D16" s="574"/>
      <c r="E16" s="6"/>
    </row>
    <row r="17" spans="7:14" x14ac:dyDescent="0.2">
      <c r="K17" s="572" t="s">
        <v>228</v>
      </c>
      <c r="L17" s="573"/>
      <c r="M17" s="573"/>
      <c r="N17" s="574"/>
    </row>
    <row r="18" spans="7:14" ht="15" x14ac:dyDescent="0.2">
      <c r="K18" s="7"/>
      <c r="L18" s="7"/>
      <c r="M18" s="7"/>
      <c r="N18" s="7"/>
    </row>
    <row r="19" spans="7:14" x14ac:dyDescent="0.2">
      <c r="K19" s="610" t="s">
        <v>169</v>
      </c>
      <c r="L19" s="560"/>
      <c r="M19" s="560"/>
      <c r="N19" s="561"/>
    </row>
    <row r="20" spans="7:14" x14ac:dyDescent="0.2">
      <c r="K20" s="562"/>
      <c r="L20" s="563"/>
      <c r="M20" s="563"/>
      <c r="N20" s="564"/>
    </row>
    <row r="21" spans="7:14" x14ac:dyDescent="0.2">
      <c r="K21" s="562"/>
      <c r="L21" s="563"/>
      <c r="M21" s="563"/>
      <c r="N21" s="564"/>
    </row>
    <row r="22" spans="7:14" x14ac:dyDescent="0.2">
      <c r="K22" s="562"/>
      <c r="L22" s="563"/>
      <c r="M22" s="563"/>
      <c r="N22" s="564"/>
    </row>
    <row r="23" spans="7:14" x14ac:dyDescent="0.2">
      <c r="K23" s="562"/>
      <c r="L23" s="563"/>
      <c r="M23" s="563"/>
      <c r="N23" s="564"/>
    </row>
    <row r="24" spans="7:14" x14ac:dyDescent="0.2">
      <c r="K24" s="562"/>
      <c r="L24" s="563"/>
      <c r="M24" s="563"/>
      <c r="N24" s="564"/>
    </row>
    <row r="25" spans="7:14" x14ac:dyDescent="0.2">
      <c r="K25" s="562"/>
      <c r="L25" s="563"/>
      <c r="M25" s="563"/>
      <c r="N25" s="564"/>
    </row>
    <row r="26" spans="7:14" x14ac:dyDescent="0.2">
      <c r="K26" s="562"/>
      <c r="L26" s="563"/>
      <c r="M26" s="563"/>
      <c r="N26" s="564"/>
    </row>
    <row r="27" spans="7:14" x14ac:dyDescent="0.2">
      <c r="K27" s="565"/>
      <c r="L27" s="566"/>
      <c r="M27" s="566"/>
      <c r="N27" s="567"/>
    </row>
    <row r="28" spans="7:14" x14ac:dyDescent="0.2">
      <c r="G28" s="568" t="s">
        <v>169</v>
      </c>
      <c r="H28" s="569"/>
      <c r="I28" s="569"/>
    </row>
  </sheetData>
  <sheetProtection sheet="1" formatCells="0" formatColumns="0" formatRows="0" insertColumns="0" insertRows="0" insertHyperlinks="0" deleteColumns="0" deleteRows="0" pivotTables="0"/>
  <mergeCells count="20">
    <mergeCell ref="A2:C2"/>
    <mergeCell ref="D2:I2"/>
    <mergeCell ref="A4:B4"/>
    <mergeCell ref="C4:D4"/>
    <mergeCell ref="E4:F4"/>
    <mergeCell ref="G4:I4"/>
    <mergeCell ref="K17:N17"/>
    <mergeCell ref="K19:N27"/>
    <mergeCell ref="A5:B5"/>
    <mergeCell ref="C5:D5"/>
    <mergeCell ref="E5:F5"/>
    <mergeCell ref="G5:I5"/>
    <mergeCell ref="A6:B6"/>
    <mergeCell ref="C6:D6"/>
    <mergeCell ref="E6:F6"/>
    <mergeCell ref="G28:I28"/>
    <mergeCell ref="A7:B7"/>
    <mergeCell ref="C7:I7"/>
    <mergeCell ref="A9:I9"/>
    <mergeCell ref="A16:D16"/>
  </mergeCells>
  <conditionalFormatting sqref="C14:H14">
    <cfRule type="cellIs" dxfId="2" priority="1" operator="between">
      <formula>0</formula>
      <formula>0.899</formula>
    </cfRule>
  </conditionalFormatting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0117-9205-49D6-A13B-8724EA6E9FAA}">
  <sheetPr>
    <tabColor theme="9" tint="-0.499984740745262"/>
    <pageSetUpPr fitToPage="1"/>
  </sheetPr>
  <dimension ref="B2:N41"/>
  <sheetViews>
    <sheetView showGridLines="0" topLeftCell="A23" workbookViewId="0">
      <selection activeCell="H27" sqref="H27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9.7109375" customWidth="1"/>
    <col min="5" max="9" width="12.5703125" customWidth="1"/>
    <col min="10" max="10" width="36.28515625" customWidth="1"/>
    <col min="11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317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588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03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1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105" t="s">
        <v>218</v>
      </c>
      <c r="E12" s="105" t="s">
        <v>219</v>
      </c>
      <c r="F12" s="105" t="s">
        <v>220</v>
      </c>
      <c r="G12" s="105" t="s">
        <v>221</v>
      </c>
      <c r="H12" s="105" t="s">
        <v>222</v>
      </c>
      <c r="I12" s="105" t="s">
        <v>223</v>
      </c>
    </row>
    <row r="13" spans="2:10" ht="41.25" customHeight="1" thickBot="1" x14ac:dyDescent="0.25">
      <c r="B13" s="667" t="s">
        <v>238</v>
      </c>
      <c r="C13" s="667"/>
      <c r="D13" s="29">
        <v>3.27</v>
      </c>
      <c r="E13" s="29" t="s">
        <v>231</v>
      </c>
      <c r="F13" s="29">
        <v>3.43</v>
      </c>
      <c r="G13" s="29">
        <v>3.6</v>
      </c>
      <c r="H13" s="29">
        <v>3.76</v>
      </c>
      <c r="I13" s="396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29" t="s">
        <v>231</v>
      </c>
      <c r="E14" s="29" t="s">
        <v>231</v>
      </c>
      <c r="F14" s="29">
        <v>3.2</v>
      </c>
      <c r="G14" s="29">
        <v>3</v>
      </c>
      <c r="H14" s="29">
        <v>2.86</v>
      </c>
      <c r="I14" s="165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29" t="s">
        <v>231</v>
      </c>
      <c r="E15" s="29">
        <v>4</v>
      </c>
      <c r="F15" s="29">
        <v>3.33</v>
      </c>
      <c r="G15" s="29">
        <v>2</v>
      </c>
      <c r="H15" s="29">
        <v>4.17</v>
      </c>
      <c r="I15" s="485" t="s">
        <v>254</v>
      </c>
      <c r="J15" s="121"/>
    </row>
    <row r="16" spans="2:10" ht="41.25" customHeight="1" thickBot="1" x14ac:dyDescent="0.25">
      <c r="B16" s="667" t="s">
        <v>241</v>
      </c>
      <c r="C16" s="667"/>
      <c r="D16" s="29">
        <v>2.56</v>
      </c>
      <c r="E16" s="29">
        <v>3.05</v>
      </c>
      <c r="F16" s="29">
        <v>3.46</v>
      </c>
      <c r="G16" s="29">
        <v>2.33</v>
      </c>
      <c r="H16" s="29">
        <v>3.52</v>
      </c>
      <c r="I16" s="166" t="s">
        <v>254</v>
      </c>
      <c r="J16" s="121"/>
    </row>
    <row r="17" spans="2:14" ht="41.25" customHeight="1" thickBot="1" x14ac:dyDescent="0.25">
      <c r="B17" s="667" t="s">
        <v>330</v>
      </c>
      <c r="C17" s="667"/>
      <c r="D17" s="29" t="s">
        <v>231</v>
      </c>
      <c r="E17" s="29" t="s">
        <v>231</v>
      </c>
      <c r="F17" s="29" t="s">
        <v>231</v>
      </c>
      <c r="G17" s="29">
        <v>4</v>
      </c>
      <c r="H17" s="29">
        <v>3.56</v>
      </c>
      <c r="I17" s="166" t="s">
        <v>254</v>
      </c>
      <c r="J17" s="121"/>
      <c r="K17" s="21"/>
      <c r="L17" s="26"/>
      <c r="M17" s="26"/>
    </row>
    <row r="18" spans="2:14" ht="41.25" customHeight="1" thickBot="1" x14ac:dyDescent="0.25">
      <c r="B18" s="667" t="s">
        <v>331</v>
      </c>
      <c r="C18" s="667"/>
      <c r="D18" s="29">
        <v>3.13</v>
      </c>
      <c r="E18" s="29">
        <v>3</v>
      </c>
      <c r="F18" s="29" t="s">
        <v>231</v>
      </c>
      <c r="G18" s="29">
        <v>3.25</v>
      </c>
      <c r="H18" s="29">
        <v>4</v>
      </c>
      <c r="I18" s="166" t="s">
        <v>254</v>
      </c>
      <c r="J18" s="121"/>
      <c r="K18" s="21"/>
      <c r="L18" s="26"/>
      <c r="M18" s="26"/>
    </row>
    <row r="19" spans="2:14" ht="41.25" customHeight="1" thickBot="1" x14ac:dyDescent="0.25">
      <c r="B19" s="667" t="s">
        <v>244</v>
      </c>
      <c r="C19" s="667"/>
      <c r="D19" s="29">
        <v>2</v>
      </c>
      <c r="E19" s="29" t="s">
        <v>231</v>
      </c>
      <c r="F19" s="29" t="s">
        <v>231</v>
      </c>
      <c r="G19" s="29" t="s">
        <v>231</v>
      </c>
      <c r="H19" s="29">
        <v>3.71</v>
      </c>
      <c r="I19" s="166" t="s">
        <v>254</v>
      </c>
      <c r="J19" s="121"/>
      <c r="K19" s="21"/>
      <c r="L19" s="26"/>
      <c r="M19" s="26"/>
    </row>
    <row r="20" spans="2:14" ht="41.25" customHeight="1" thickBot="1" x14ac:dyDescent="0.25">
      <c r="B20" s="667" t="s">
        <v>246</v>
      </c>
      <c r="C20" s="667"/>
      <c r="D20" s="29">
        <v>3.6</v>
      </c>
      <c r="E20" s="29">
        <v>3.07</v>
      </c>
      <c r="F20" s="29">
        <v>3</v>
      </c>
      <c r="G20" s="29">
        <v>1.8</v>
      </c>
      <c r="H20" s="29">
        <v>4.17</v>
      </c>
      <c r="I20" s="166" t="s">
        <v>254</v>
      </c>
      <c r="J20" s="27"/>
    </row>
    <row r="21" spans="2:14" ht="41.25" customHeight="1" thickBot="1" x14ac:dyDescent="0.35">
      <c r="B21" s="741" t="s">
        <v>245</v>
      </c>
      <c r="C21" s="741"/>
      <c r="D21" s="29" t="s">
        <v>231</v>
      </c>
      <c r="E21" s="29" t="s">
        <v>231</v>
      </c>
      <c r="F21" s="29" t="s">
        <v>231</v>
      </c>
      <c r="G21" s="29" t="s">
        <v>231</v>
      </c>
      <c r="H21" s="29">
        <v>3.87</v>
      </c>
      <c r="I21" s="166" t="s">
        <v>254</v>
      </c>
      <c r="J21" s="27"/>
    </row>
    <row r="22" spans="2:14" ht="41.25" customHeight="1" thickBot="1" x14ac:dyDescent="0.25">
      <c r="B22" s="667" t="s">
        <v>247</v>
      </c>
      <c r="C22" s="667"/>
      <c r="D22" s="29">
        <v>2.64</v>
      </c>
      <c r="E22" s="29">
        <v>2.67</v>
      </c>
      <c r="F22" s="29">
        <v>3</v>
      </c>
      <c r="G22" s="29">
        <v>3</v>
      </c>
      <c r="H22" s="29">
        <v>3.82</v>
      </c>
      <c r="I22" s="166" t="s">
        <v>254</v>
      </c>
      <c r="J22" s="28"/>
      <c r="K22" s="53"/>
      <c r="L22" s="53"/>
      <c r="M22" s="53"/>
      <c r="N22" s="53"/>
    </row>
    <row r="23" spans="2:14" ht="41.25" customHeight="1" thickBot="1" x14ac:dyDescent="0.25">
      <c r="B23" s="667" t="s">
        <v>248</v>
      </c>
      <c r="C23" s="667"/>
      <c r="D23" s="29">
        <v>2.71</v>
      </c>
      <c r="E23" s="29">
        <v>2.85</v>
      </c>
      <c r="F23" s="29">
        <v>2.58</v>
      </c>
      <c r="G23" s="29">
        <v>3.25</v>
      </c>
      <c r="H23" s="29">
        <v>3.58</v>
      </c>
      <c r="I23" s="166" t="s">
        <v>254</v>
      </c>
      <c r="J23" s="28"/>
      <c r="K23" s="53"/>
      <c r="L23" s="53"/>
      <c r="M23" s="53"/>
      <c r="N23" s="53"/>
    </row>
    <row r="24" spans="2:14" ht="22.5" customHeight="1" thickBot="1" x14ac:dyDescent="0.25">
      <c r="B24" s="785" t="e">
        <f>D5</f>
        <v>#REF!</v>
      </c>
      <c r="C24" s="785"/>
      <c r="D24" s="215">
        <f t="shared" ref="D24:H24" si="0">COUNTIF(D13:D23,"&gt;=3")</f>
        <v>3</v>
      </c>
      <c r="E24" s="215">
        <f t="shared" si="0"/>
        <v>4</v>
      </c>
      <c r="F24" s="215">
        <f t="shared" si="0"/>
        <v>6</v>
      </c>
      <c r="G24" s="215">
        <f t="shared" si="0"/>
        <v>6</v>
      </c>
      <c r="H24" s="215">
        <f t="shared" si="0"/>
        <v>10</v>
      </c>
      <c r="I24" s="166" t="s">
        <v>254</v>
      </c>
    </row>
    <row r="25" spans="2:14" ht="22.5" customHeight="1" thickBot="1" x14ac:dyDescent="0.25">
      <c r="B25" s="644" t="s">
        <v>268</v>
      </c>
      <c r="C25" s="644"/>
      <c r="D25" s="15">
        <f t="shared" ref="D25:H25" si="1">COUNT(D13:D23)</f>
        <v>7</v>
      </c>
      <c r="E25" s="15">
        <f t="shared" si="1"/>
        <v>6</v>
      </c>
      <c r="F25" s="15">
        <f t="shared" si="1"/>
        <v>7</v>
      </c>
      <c r="G25" s="15">
        <f t="shared" si="1"/>
        <v>9</v>
      </c>
      <c r="H25" s="15">
        <f t="shared" si="1"/>
        <v>11</v>
      </c>
      <c r="I25" s="166" t="s">
        <v>254</v>
      </c>
    </row>
    <row r="26" spans="2:14" ht="22.5" customHeight="1" x14ac:dyDescent="0.2">
      <c r="B26" s="640" t="s">
        <v>225</v>
      </c>
      <c r="C26" s="706"/>
      <c r="D26" s="72" t="e">
        <f>$D5</f>
        <v>#REF!</v>
      </c>
      <c r="E26" s="72" t="e">
        <f t="shared" ref="E26:H26" si="2">$D5</f>
        <v>#REF!</v>
      </c>
      <c r="F26" s="72" t="e">
        <f t="shared" si="2"/>
        <v>#REF!</v>
      </c>
      <c r="G26" s="72" t="e">
        <f t="shared" si="2"/>
        <v>#REF!</v>
      </c>
      <c r="H26" s="72" t="e">
        <f t="shared" si="2"/>
        <v>#REF!</v>
      </c>
      <c r="I26" s="72" t="e">
        <f t="shared" ref="I26" si="3">$D5</f>
        <v>#REF!</v>
      </c>
    </row>
    <row r="27" spans="2:14" ht="22.5" customHeight="1" x14ac:dyDescent="0.2">
      <c r="B27" s="640" t="s">
        <v>226</v>
      </c>
      <c r="C27" s="706"/>
      <c r="D27" s="46">
        <f t="shared" ref="D27:I27" si="4">D24/D25</f>
        <v>0.42857142857142855</v>
      </c>
      <c r="E27" s="46">
        <f t="shared" si="4"/>
        <v>0.66666666666666663</v>
      </c>
      <c r="F27" s="46">
        <f t="shared" si="4"/>
        <v>0.8571428571428571</v>
      </c>
      <c r="G27" s="46">
        <f t="shared" si="4"/>
        <v>0.66666666666666663</v>
      </c>
      <c r="H27" s="46">
        <f t="shared" si="4"/>
        <v>0.90909090909090906</v>
      </c>
      <c r="I27" s="46" t="e">
        <f t="shared" si="4"/>
        <v>#VALUE!</v>
      </c>
    </row>
    <row r="28" spans="2:14" ht="22.5" customHeight="1" x14ac:dyDescent="0.25">
      <c r="B28" s="5"/>
      <c r="C28" s="5"/>
      <c r="D28" s="4"/>
      <c r="E28" s="4"/>
      <c r="F28" s="4"/>
      <c r="G28" s="4"/>
      <c r="H28" s="4"/>
      <c r="I28" s="4"/>
      <c r="J28" s="4"/>
    </row>
    <row r="29" spans="2:14" ht="22.5" customHeight="1" x14ac:dyDescent="0.2">
      <c r="B29" s="572" t="s">
        <v>227</v>
      </c>
      <c r="C29" s="573"/>
      <c r="D29" s="573"/>
      <c r="E29" s="574"/>
      <c r="F29" s="6"/>
      <c r="K29" s="572" t="s">
        <v>228</v>
      </c>
      <c r="L29" s="573"/>
      <c r="M29" s="573"/>
      <c r="N29" s="574"/>
    </row>
    <row r="30" spans="2:14" ht="22.5" customHeight="1" x14ac:dyDescent="0.2">
      <c r="B30" s="6"/>
      <c r="C30" s="6"/>
      <c r="D30" s="6"/>
      <c r="E30" s="6"/>
      <c r="F30" s="6"/>
      <c r="K30" s="7"/>
      <c r="L30" s="7"/>
      <c r="M30" s="7"/>
      <c r="N30" s="7"/>
    </row>
    <row r="31" spans="2:14" ht="6" customHeight="1" x14ac:dyDescent="0.2">
      <c r="B31" s="6"/>
      <c r="C31" s="6"/>
      <c r="D31" s="6"/>
      <c r="E31" s="6"/>
      <c r="F31" s="6"/>
      <c r="K31" s="610" t="s">
        <v>603</v>
      </c>
      <c r="L31" s="560"/>
      <c r="M31" s="560"/>
      <c r="N31" s="561"/>
    </row>
    <row r="32" spans="2:14" ht="19.5" customHeight="1" x14ac:dyDescent="0.2">
      <c r="B32" s="6"/>
      <c r="C32" s="6"/>
      <c r="D32" s="6"/>
      <c r="E32" s="6"/>
      <c r="F32" s="6"/>
      <c r="K32" s="562"/>
      <c r="L32" s="563"/>
      <c r="M32" s="563"/>
      <c r="N32" s="564"/>
    </row>
    <row r="33" spans="8:14" ht="19.5" customHeight="1" x14ac:dyDescent="0.2">
      <c r="K33" s="562"/>
      <c r="L33" s="563"/>
      <c r="M33" s="563"/>
      <c r="N33" s="564"/>
    </row>
    <row r="34" spans="8:14" ht="19.5" customHeight="1" x14ac:dyDescent="0.2">
      <c r="K34" s="562"/>
      <c r="L34" s="563"/>
      <c r="M34" s="563"/>
      <c r="N34" s="564"/>
    </row>
    <row r="35" spans="8:14" ht="19.5" customHeight="1" x14ac:dyDescent="0.2">
      <c r="K35" s="562"/>
      <c r="L35" s="563"/>
      <c r="M35" s="563"/>
      <c r="N35" s="564"/>
    </row>
    <row r="36" spans="8:14" ht="19.5" customHeight="1" x14ac:dyDescent="0.2">
      <c r="K36" s="562"/>
      <c r="L36" s="563"/>
      <c r="M36" s="563"/>
      <c r="N36" s="564"/>
    </row>
    <row r="37" spans="8:14" ht="19.5" customHeight="1" x14ac:dyDescent="0.2">
      <c r="K37" s="562"/>
      <c r="L37" s="563"/>
      <c r="M37" s="563"/>
      <c r="N37" s="564"/>
    </row>
    <row r="38" spans="8:14" ht="19.5" customHeight="1" x14ac:dyDescent="0.2">
      <c r="K38" s="562"/>
      <c r="L38" s="563"/>
      <c r="M38" s="563"/>
      <c r="N38" s="564"/>
    </row>
    <row r="39" spans="8:14" ht="19.5" customHeight="1" x14ac:dyDescent="0.2">
      <c r="K39" s="565"/>
      <c r="L39" s="566"/>
      <c r="M39" s="566"/>
      <c r="N39" s="567"/>
    </row>
    <row r="40" spans="8:14" ht="19.5" customHeight="1" x14ac:dyDescent="0.2"/>
    <row r="41" spans="8:14" ht="19.5" customHeight="1" x14ac:dyDescent="0.2">
      <c r="H41" s="568" t="s">
        <v>169</v>
      </c>
      <c r="I41" s="569"/>
      <c r="J41" s="569"/>
    </row>
  </sheetData>
  <sheetProtection sheet="1" formatCells="0" formatColumns="0" formatRows="0" insertColumns="0" insertRows="0" insertHyperlinks="0" deleteColumns="0" deleteRows="0" pivotTables="0"/>
  <mergeCells count="35">
    <mergeCell ref="K31:N39"/>
    <mergeCell ref="H41:J41"/>
    <mergeCell ref="B24:C24"/>
    <mergeCell ref="B25:C25"/>
    <mergeCell ref="B26:C26"/>
    <mergeCell ref="B27:C27"/>
    <mergeCell ref="B29:E29"/>
    <mergeCell ref="K29:N29"/>
    <mergeCell ref="B18:C18"/>
    <mergeCell ref="B19:C19"/>
    <mergeCell ref="B20:C20"/>
    <mergeCell ref="B22:C22"/>
    <mergeCell ref="B23:C23"/>
    <mergeCell ref="B21:C21"/>
    <mergeCell ref="B17:C17"/>
    <mergeCell ref="B7:C7"/>
    <mergeCell ref="D7:J7"/>
    <mergeCell ref="B9:J9"/>
    <mergeCell ref="B13:C13"/>
    <mergeCell ref="B14:C14"/>
    <mergeCell ref="B15:C15"/>
    <mergeCell ref="B16:C16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H23">
    <cfRule type="cellIs" dxfId="1" priority="1" operator="less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CA56-7FF0-47CC-9691-1E9F0B97E3DF}">
  <sheetPr>
    <tabColor theme="9" tint="-0.499984740745262"/>
    <pageSetUpPr fitToPage="1"/>
  </sheetPr>
  <dimension ref="B2:M41"/>
  <sheetViews>
    <sheetView showGridLines="0" topLeftCell="A18" workbookViewId="0">
      <selection activeCell="I26" sqref="I26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25" bestFit="1" customWidth="1"/>
    <col min="5" max="9" width="12.5703125" customWidth="1"/>
    <col min="10" max="10" width="36.28515625" customWidth="1"/>
    <col min="11" max="11" width="32.5703125" customWidth="1"/>
    <col min="12" max="20" width="7.5703125" customWidth="1"/>
  </cols>
  <sheetData>
    <row r="2" spans="2:10" ht="55.5" customHeight="1" x14ac:dyDescent="0.2">
      <c r="B2" s="659"/>
      <c r="C2" s="650"/>
      <c r="D2" s="658"/>
      <c r="E2" s="660" t="s">
        <v>207</v>
      </c>
      <c r="F2" s="650"/>
      <c r="G2" s="650"/>
      <c r="H2" s="650"/>
      <c r="I2" s="650"/>
      <c r="J2" s="658"/>
    </row>
    <row r="3" spans="2:10" ht="22.5" customHeight="1" x14ac:dyDescent="0.2">
      <c r="B3" s="44"/>
      <c r="C3" s="44"/>
      <c r="D3" s="45"/>
      <c r="E3" s="45"/>
      <c r="F3" s="45"/>
      <c r="G3" s="45"/>
      <c r="H3" s="45"/>
      <c r="I3" s="45"/>
    </row>
    <row r="4" spans="2:10" ht="42" customHeight="1" x14ac:dyDescent="0.2">
      <c r="B4" s="572" t="s">
        <v>208</v>
      </c>
      <c r="C4" s="574"/>
      <c r="D4" s="649" t="e">
        <f>#REF!</f>
        <v>#REF!</v>
      </c>
      <c r="E4" s="658"/>
      <c r="F4" s="572" t="s">
        <v>209</v>
      </c>
      <c r="G4" s="574"/>
      <c r="H4" s="649" t="e">
        <f>#REF!</f>
        <v>#REF!</v>
      </c>
      <c r="I4" s="650"/>
      <c r="J4" s="658"/>
    </row>
    <row r="5" spans="2:10" ht="22.5" customHeight="1" x14ac:dyDescent="0.2">
      <c r="B5" s="572" t="s">
        <v>210</v>
      </c>
      <c r="C5" s="574"/>
      <c r="D5" s="649" t="e">
        <f>#REF!</f>
        <v>#REF!</v>
      </c>
      <c r="E5" s="658"/>
      <c r="F5" s="687" t="s">
        <v>211</v>
      </c>
      <c r="G5" s="574"/>
      <c r="H5" s="745" t="s">
        <v>588</v>
      </c>
      <c r="I5" s="650"/>
      <c r="J5" s="612"/>
    </row>
    <row r="6" spans="2:10" ht="22.5" customHeight="1" x14ac:dyDescent="0.2">
      <c r="B6" s="572" t="s">
        <v>213</v>
      </c>
      <c r="C6" s="574"/>
      <c r="D6" s="649" t="s">
        <v>214</v>
      </c>
      <c r="E6" s="658"/>
      <c r="F6" s="572" t="s">
        <v>236</v>
      </c>
      <c r="G6" s="574"/>
      <c r="H6" s="10" t="e">
        <f>#REF!</f>
        <v>#REF!</v>
      </c>
      <c r="J6" s="17"/>
    </row>
    <row r="7" spans="2:10" ht="22.5" customHeight="1" x14ac:dyDescent="0.2">
      <c r="B7" s="572" t="s">
        <v>216</v>
      </c>
      <c r="C7" s="574"/>
      <c r="D7" s="649" t="e">
        <f>#REF!</f>
        <v>#REF!</v>
      </c>
      <c r="E7" s="650"/>
      <c r="F7" s="650"/>
      <c r="G7" s="650"/>
      <c r="H7" s="650"/>
      <c r="I7" s="650"/>
      <c r="J7" s="658"/>
    </row>
    <row r="8" spans="2:10" ht="7.5" customHeight="1" x14ac:dyDescent="0.2"/>
    <row r="9" spans="2:10" ht="22.5" customHeight="1" x14ac:dyDescent="0.2">
      <c r="B9" s="572" t="s">
        <v>217</v>
      </c>
      <c r="C9" s="573"/>
      <c r="D9" s="573"/>
      <c r="E9" s="573"/>
      <c r="F9" s="573"/>
      <c r="G9" s="573"/>
      <c r="H9" s="573"/>
      <c r="I9" s="573"/>
      <c r="J9" s="574"/>
    </row>
    <row r="10" spans="2:10" ht="22.5" customHeight="1" x14ac:dyDescent="0.2">
      <c r="B10" s="31" t="s">
        <v>169</v>
      </c>
      <c r="C10" s="11"/>
      <c r="D10" s="11"/>
      <c r="E10" s="11"/>
      <c r="F10" s="11"/>
      <c r="G10" s="11"/>
      <c r="H10" s="11"/>
      <c r="I10" s="11"/>
      <c r="J10" s="11"/>
    </row>
    <row r="11" spans="2:10" ht="22.5" customHeight="1" x14ac:dyDescent="0.2"/>
    <row r="12" spans="2:10" ht="22.5" customHeight="1" thickBot="1" x14ac:dyDescent="0.25">
      <c r="B12" s="14"/>
      <c r="C12" s="14"/>
      <c r="D12" s="89" t="s">
        <v>218</v>
      </c>
      <c r="E12" s="89" t="s">
        <v>219</v>
      </c>
      <c r="F12" s="89" t="s">
        <v>220</v>
      </c>
      <c r="G12" s="364" t="s">
        <v>221</v>
      </c>
      <c r="H12" s="89" t="s">
        <v>222</v>
      </c>
      <c r="I12" s="89" t="s">
        <v>223</v>
      </c>
    </row>
    <row r="13" spans="2:10" ht="41.25" customHeight="1" thickBot="1" x14ac:dyDescent="0.25">
      <c r="B13" s="667" t="s">
        <v>238</v>
      </c>
      <c r="C13" s="667"/>
      <c r="D13" s="80">
        <v>3.73</v>
      </c>
      <c r="E13" s="80" t="s">
        <v>231</v>
      </c>
      <c r="F13" s="80">
        <v>3.75</v>
      </c>
      <c r="G13" s="376">
        <v>4.2</v>
      </c>
      <c r="H13" s="29">
        <v>3.53</v>
      </c>
      <c r="I13" s="202" t="s">
        <v>254</v>
      </c>
      <c r="J13" s="121"/>
    </row>
    <row r="14" spans="2:10" ht="41.25" customHeight="1" thickBot="1" x14ac:dyDescent="0.25">
      <c r="B14" s="667" t="s">
        <v>337</v>
      </c>
      <c r="C14" s="667"/>
      <c r="D14" s="29" t="s">
        <v>231</v>
      </c>
      <c r="E14" s="29" t="s">
        <v>231</v>
      </c>
      <c r="F14" s="29">
        <v>3.6</v>
      </c>
      <c r="G14" s="63">
        <v>4</v>
      </c>
      <c r="H14" s="29">
        <v>3.71</v>
      </c>
      <c r="I14" s="165" t="s">
        <v>254</v>
      </c>
      <c r="J14" s="121"/>
    </row>
    <row r="15" spans="2:10" ht="41.25" customHeight="1" thickBot="1" x14ac:dyDescent="0.25">
      <c r="B15" s="667" t="s">
        <v>287</v>
      </c>
      <c r="C15" s="667"/>
      <c r="D15" s="29" t="s">
        <v>231</v>
      </c>
      <c r="E15" s="29">
        <v>4</v>
      </c>
      <c r="F15" s="29">
        <v>4.17</v>
      </c>
      <c r="G15" s="63">
        <v>2</v>
      </c>
      <c r="H15" s="29">
        <v>4.33</v>
      </c>
      <c r="I15" s="165" t="s">
        <v>254</v>
      </c>
      <c r="J15" s="121"/>
    </row>
    <row r="16" spans="2:10" ht="41.25" customHeight="1" thickBot="1" x14ac:dyDescent="0.25">
      <c r="B16" s="667" t="s">
        <v>241</v>
      </c>
      <c r="C16" s="667"/>
      <c r="D16" s="29">
        <v>3.33</v>
      </c>
      <c r="E16" s="29">
        <v>3.9</v>
      </c>
      <c r="F16" s="29">
        <v>3.85</v>
      </c>
      <c r="G16" s="63">
        <v>3</v>
      </c>
      <c r="H16" s="29">
        <v>3.86</v>
      </c>
      <c r="I16" s="165" t="s">
        <v>254</v>
      </c>
      <c r="J16" s="121"/>
    </row>
    <row r="17" spans="2:13" ht="41.25" customHeight="1" thickBot="1" x14ac:dyDescent="0.25">
      <c r="B17" s="667" t="s">
        <v>330</v>
      </c>
      <c r="C17" s="667"/>
      <c r="D17" s="29" t="s">
        <v>231</v>
      </c>
      <c r="E17" s="29" t="s">
        <v>231</v>
      </c>
      <c r="F17" s="29" t="s">
        <v>231</v>
      </c>
      <c r="G17" s="63">
        <v>4</v>
      </c>
      <c r="H17" s="29">
        <v>4.1100000000000003</v>
      </c>
      <c r="I17" s="165" t="s">
        <v>254</v>
      </c>
      <c r="J17" s="121"/>
      <c r="K17" s="21"/>
      <c r="L17" s="26"/>
      <c r="M17" s="26"/>
    </row>
    <row r="18" spans="2:13" ht="41.25" customHeight="1" thickBot="1" x14ac:dyDescent="0.25">
      <c r="B18" s="667" t="s">
        <v>331</v>
      </c>
      <c r="C18" s="667"/>
      <c r="D18" s="29">
        <v>3.5</v>
      </c>
      <c r="E18" s="29">
        <v>4</v>
      </c>
      <c r="F18" s="29" t="s">
        <v>231</v>
      </c>
      <c r="G18" s="63">
        <v>3.5</v>
      </c>
      <c r="H18" s="29">
        <v>3.88</v>
      </c>
      <c r="I18" s="165" t="s">
        <v>254</v>
      </c>
      <c r="J18" s="121"/>
      <c r="K18" s="21"/>
      <c r="L18" s="26"/>
      <c r="M18" s="26"/>
    </row>
    <row r="19" spans="2:13" ht="41.25" customHeight="1" thickBot="1" x14ac:dyDescent="0.25">
      <c r="B19" s="667" t="s">
        <v>244</v>
      </c>
      <c r="C19" s="667"/>
      <c r="D19" s="29">
        <v>3.4</v>
      </c>
      <c r="E19" s="29" t="s">
        <v>231</v>
      </c>
      <c r="F19" s="29" t="s">
        <v>231</v>
      </c>
      <c r="G19" s="63" t="s">
        <v>231</v>
      </c>
      <c r="H19" s="29">
        <v>3.67</v>
      </c>
      <c r="I19" s="165" t="s">
        <v>254</v>
      </c>
      <c r="J19" s="121"/>
      <c r="K19" s="21"/>
      <c r="L19" s="26"/>
      <c r="M19" s="26"/>
    </row>
    <row r="20" spans="2:13" ht="41.25" customHeight="1" thickBot="1" x14ac:dyDescent="0.35">
      <c r="B20" s="852" t="s">
        <v>604</v>
      </c>
      <c r="C20" s="853"/>
      <c r="D20" s="29" t="s">
        <v>231</v>
      </c>
      <c r="E20" s="29" t="s">
        <v>231</v>
      </c>
      <c r="F20" s="29" t="s">
        <v>231</v>
      </c>
      <c r="G20" s="63" t="s">
        <v>231</v>
      </c>
      <c r="H20" s="29">
        <v>4.57</v>
      </c>
      <c r="I20" s="165" t="s">
        <v>254</v>
      </c>
      <c r="J20" s="121"/>
      <c r="K20" s="21"/>
      <c r="L20" s="26"/>
      <c r="M20" s="26"/>
    </row>
    <row r="21" spans="2:13" ht="41.25" customHeight="1" thickBot="1" x14ac:dyDescent="0.25">
      <c r="B21" s="667" t="s">
        <v>246</v>
      </c>
      <c r="C21" s="667"/>
      <c r="D21" s="29">
        <v>3.9</v>
      </c>
      <c r="E21" s="29">
        <v>3.93</v>
      </c>
      <c r="F21" s="29">
        <v>3</v>
      </c>
      <c r="G21" s="63">
        <v>3.2</v>
      </c>
      <c r="H21" s="29">
        <v>4.13</v>
      </c>
      <c r="I21" s="165" t="s">
        <v>254</v>
      </c>
      <c r="K21" s="68" t="s">
        <v>228</v>
      </c>
      <c r="L21" s="142"/>
      <c r="M21" s="142"/>
    </row>
    <row r="22" spans="2:13" ht="41.25" customHeight="1" thickBot="1" x14ac:dyDescent="0.25">
      <c r="B22" s="667" t="s">
        <v>247</v>
      </c>
      <c r="C22" s="667"/>
      <c r="D22" s="29">
        <v>3.64</v>
      </c>
      <c r="E22" s="29">
        <v>3.67</v>
      </c>
      <c r="F22" s="29">
        <v>3</v>
      </c>
      <c r="G22" s="63">
        <v>3.5</v>
      </c>
      <c r="H22" s="29">
        <v>3.91</v>
      </c>
      <c r="I22" s="165" t="s">
        <v>254</v>
      </c>
      <c r="K22" s="7"/>
      <c r="L22" s="7"/>
      <c r="M22" s="7"/>
    </row>
    <row r="23" spans="2:13" ht="41.25" customHeight="1" x14ac:dyDescent="0.2">
      <c r="B23" s="667" t="s">
        <v>248</v>
      </c>
      <c r="C23" s="667"/>
      <c r="D23" s="29">
        <v>3.32</v>
      </c>
      <c r="E23" s="29">
        <v>3.63</v>
      </c>
      <c r="F23" s="29">
        <v>2.58</v>
      </c>
      <c r="G23" s="63">
        <v>4</v>
      </c>
      <c r="H23" s="29">
        <v>4</v>
      </c>
      <c r="I23" s="29" t="s">
        <v>254</v>
      </c>
      <c r="K23" s="721" t="s">
        <v>605</v>
      </c>
      <c r="L23" s="722"/>
      <c r="M23" s="722"/>
    </row>
    <row r="24" spans="2:13" ht="22.5" customHeight="1" x14ac:dyDescent="0.2">
      <c r="B24" s="785" t="e">
        <f>D5</f>
        <v>#REF!</v>
      </c>
      <c r="C24" s="785"/>
      <c r="D24" s="32">
        <f t="shared" ref="D24:I24" si="0">COUNTIF(D13:D23,"&gt;=3,5")</f>
        <v>4</v>
      </c>
      <c r="E24" s="32">
        <f t="shared" si="0"/>
        <v>6</v>
      </c>
      <c r="F24" s="32">
        <f t="shared" si="0"/>
        <v>4</v>
      </c>
      <c r="G24" s="233">
        <f t="shared" si="0"/>
        <v>6</v>
      </c>
      <c r="H24" s="32">
        <f t="shared" si="0"/>
        <v>11</v>
      </c>
      <c r="I24" s="32">
        <f t="shared" si="0"/>
        <v>0</v>
      </c>
      <c r="K24" s="724"/>
      <c r="L24" s="725"/>
      <c r="M24" s="725"/>
    </row>
    <row r="25" spans="2:13" ht="22.5" customHeight="1" x14ac:dyDescent="0.2">
      <c r="B25" s="644" t="s">
        <v>268</v>
      </c>
      <c r="C25" s="644"/>
      <c r="D25" s="15">
        <f t="shared" ref="D25:I25" si="1">COUNT(D13:D23)</f>
        <v>7</v>
      </c>
      <c r="E25" s="15">
        <f t="shared" si="1"/>
        <v>6</v>
      </c>
      <c r="F25" s="15">
        <f t="shared" si="1"/>
        <v>7</v>
      </c>
      <c r="G25" s="37">
        <f t="shared" si="1"/>
        <v>9</v>
      </c>
      <c r="H25" s="15">
        <f t="shared" si="1"/>
        <v>11</v>
      </c>
      <c r="I25" s="15">
        <f t="shared" si="1"/>
        <v>0</v>
      </c>
      <c r="K25" s="724"/>
      <c r="L25" s="725"/>
      <c r="M25" s="725"/>
    </row>
    <row r="26" spans="2:13" ht="22.5" customHeight="1" x14ac:dyDescent="0.2">
      <c r="B26" s="640" t="s">
        <v>225</v>
      </c>
      <c r="C26" s="706"/>
      <c r="D26" s="72" t="e">
        <f>$D5</f>
        <v>#REF!</v>
      </c>
      <c r="E26" s="72" t="e">
        <f t="shared" ref="E26:G26" si="2">$D5</f>
        <v>#REF!</v>
      </c>
      <c r="F26" s="72" t="e">
        <f t="shared" si="2"/>
        <v>#REF!</v>
      </c>
      <c r="G26" s="377" t="e">
        <f t="shared" si="2"/>
        <v>#REF!</v>
      </c>
      <c r="H26" s="72">
        <v>3.5</v>
      </c>
      <c r="I26" s="72">
        <v>3.5</v>
      </c>
      <c r="K26" s="724"/>
      <c r="L26" s="725"/>
      <c r="M26" s="725"/>
    </row>
    <row r="27" spans="2:13" ht="22.5" customHeight="1" x14ac:dyDescent="0.2">
      <c r="B27" s="640" t="s">
        <v>226</v>
      </c>
      <c r="C27" s="706"/>
      <c r="D27" s="46">
        <f t="shared" ref="D27:I27" si="3">D24/D25</f>
        <v>0.5714285714285714</v>
      </c>
      <c r="E27" s="46">
        <f t="shared" si="3"/>
        <v>1</v>
      </c>
      <c r="F27" s="46">
        <f t="shared" si="3"/>
        <v>0.5714285714285714</v>
      </c>
      <c r="G27" s="263">
        <f t="shared" si="3"/>
        <v>0.66666666666666663</v>
      </c>
      <c r="H27" s="46">
        <f t="shared" si="3"/>
        <v>1</v>
      </c>
      <c r="I27" s="46" t="e">
        <f t="shared" si="3"/>
        <v>#DIV/0!</v>
      </c>
      <c r="K27" s="724"/>
      <c r="L27" s="725"/>
      <c r="M27" s="725"/>
    </row>
    <row r="28" spans="2:13" ht="22.5" customHeight="1" x14ac:dyDescent="0.25">
      <c r="B28" s="5"/>
      <c r="C28" s="5"/>
      <c r="D28" s="4"/>
      <c r="E28" s="4"/>
      <c r="F28" s="4"/>
      <c r="G28" s="4"/>
      <c r="H28" s="4"/>
      <c r="I28" s="4"/>
      <c r="K28" s="724"/>
      <c r="L28" s="725"/>
      <c r="M28" s="725"/>
    </row>
    <row r="29" spans="2:13" ht="22.5" customHeight="1" x14ac:dyDescent="0.2">
      <c r="B29" s="572" t="s">
        <v>227</v>
      </c>
      <c r="C29" s="573"/>
      <c r="D29" s="573"/>
      <c r="E29" s="574"/>
      <c r="F29" s="6"/>
      <c r="K29" s="143"/>
      <c r="L29" s="9"/>
      <c r="M29" s="9"/>
    </row>
    <row r="41" spans="8:10" ht="19.5" customHeight="1" x14ac:dyDescent="0.2">
      <c r="H41" s="568" t="s">
        <v>169</v>
      </c>
      <c r="I41" s="569"/>
      <c r="J41" s="569"/>
    </row>
  </sheetData>
  <sheetProtection sheet="1" formatCells="0" formatColumns="0" formatRows="0" insertColumns="0" insertRows="0" insertHyperlinks="0" deleteColumns="0" deleteRows="0" pivotTables="0"/>
  <mergeCells count="34">
    <mergeCell ref="K23:M28"/>
    <mergeCell ref="B24:C24"/>
    <mergeCell ref="B23:C23"/>
    <mergeCell ref="H41:J41"/>
    <mergeCell ref="B25:C25"/>
    <mergeCell ref="B26:C26"/>
    <mergeCell ref="B27:C27"/>
    <mergeCell ref="B29:E29"/>
    <mergeCell ref="B9:J9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0:C20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2:D2"/>
    <mergeCell ref="E2:J2"/>
    <mergeCell ref="B4:C4"/>
    <mergeCell ref="D4:E4"/>
    <mergeCell ref="F4:G4"/>
    <mergeCell ref="H4:J4"/>
  </mergeCells>
  <conditionalFormatting sqref="D13:G23">
    <cfRule type="cellIs" dxfId="0" priority="2" operator="between">
      <formula>0</formula>
      <formula>3.15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A983-00A2-4014-860B-A92A53701CF9}">
  <sheetPr>
    <tabColor theme="9" tint="-0.499984740745262"/>
  </sheetPr>
  <dimension ref="A2:I19"/>
  <sheetViews>
    <sheetView workbookViewId="0">
      <selection activeCell="K25" sqref="K25"/>
    </sheetView>
  </sheetViews>
  <sheetFormatPr defaultColWidth="9.140625" defaultRowHeight="12.75" x14ac:dyDescent="0.2"/>
  <cols>
    <col min="3" max="3" width="13.140625" customWidth="1"/>
    <col min="4" max="4" width="15.140625" customWidth="1"/>
    <col min="5" max="5" width="16.28515625" customWidth="1"/>
    <col min="6" max="6" width="14" customWidth="1"/>
    <col min="7" max="7" width="15.28515625" customWidth="1"/>
    <col min="8" max="8" width="10.28515625" customWidth="1"/>
  </cols>
  <sheetData>
    <row r="2" spans="1:9" ht="43.5" customHeight="1" x14ac:dyDescent="0.25">
      <c r="A2" s="543"/>
      <c r="B2" s="544"/>
      <c r="C2" s="545"/>
      <c r="D2" s="546" t="s">
        <v>207</v>
      </c>
      <c r="E2" s="544"/>
      <c r="F2" s="544"/>
      <c r="G2" s="544"/>
      <c r="H2" s="544"/>
      <c r="I2" s="545"/>
    </row>
    <row r="3" spans="1:9" ht="16.5" x14ac:dyDescent="0.25">
      <c r="A3" s="281"/>
      <c r="B3" s="281"/>
      <c r="C3" s="282"/>
      <c r="D3" s="282"/>
      <c r="E3" s="282"/>
      <c r="F3" s="282"/>
      <c r="G3" s="282"/>
      <c r="H3" s="282"/>
      <c r="I3" s="279"/>
    </row>
    <row r="4" spans="1:9" ht="54" customHeight="1" x14ac:dyDescent="0.25">
      <c r="A4" s="547" t="s">
        <v>208</v>
      </c>
      <c r="B4" s="548"/>
      <c r="C4" s="549" t="e">
        <f>#REF!</f>
        <v>#REF!</v>
      </c>
      <c r="D4" s="545"/>
      <c r="E4" s="547" t="s">
        <v>209</v>
      </c>
      <c r="F4" s="548"/>
      <c r="G4" s="549" t="e">
        <f>#REF!</f>
        <v>#REF!</v>
      </c>
      <c r="H4" s="544"/>
      <c r="I4" s="545"/>
    </row>
    <row r="5" spans="1:9" ht="29.25" customHeight="1" x14ac:dyDescent="0.25">
      <c r="A5" s="547" t="s">
        <v>210</v>
      </c>
      <c r="B5" s="548"/>
      <c r="C5" s="595" t="e">
        <f>#REF!</f>
        <v>#REF!</v>
      </c>
      <c r="D5" s="545"/>
      <c r="E5" s="552" t="s">
        <v>211</v>
      </c>
      <c r="F5" s="548"/>
      <c r="G5" s="596" t="s">
        <v>212</v>
      </c>
      <c r="H5" s="585"/>
      <c r="I5" s="586"/>
    </row>
    <row r="6" spans="1:9" ht="27" customHeight="1" x14ac:dyDescent="0.25">
      <c r="A6" s="547" t="s">
        <v>213</v>
      </c>
      <c r="B6" s="548"/>
      <c r="C6" s="549" t="s">
        <v>214</v>
      </c>
      <c r="D6" s="545"/>
      <c r="E6" s="547" t="s">
        <v>215</v>
      </c>
      <c r="F6" s="556"/>
      <c r="G6" s="283" t="e">
        <f>#REF!</f>
        <v>#REF!</v>
      </c>
      <c r="H6" s="284"/>
      <c r="I6" s="285"/>
    </row>
    <row r="7" spans="1:9" ht="27.75" customHeight="1" x14ac:dyDescent="0.25">
      <c r="A7" s="547" t="s">
        <v>216</v>
      </c>
      <c r="B7" s="548"/>
      <c r="C7" s="549" t="e">
        <f>#REF!</f>
        <v>#REF!</v>
      </c>
      <c r="D7" s="544"/>
      <c r="E7" s="544"/>
      <c r="F7" s="544"/>
      <c r="G7" s="544"/>
      <c r="H7" s="544"/>
      <c r="I7" s="545"/>
    </row>
    <row r="8" spans="1:9" ht="13.5" x14ac:dyDescent="0.25">
      <c r="A8" s="279"/>
      <c r="B8" s="279"/>
      <c r="C8" s="279"/>
      <c r="D8" s="279"/>
      <c r="E8" s="279"/>
      <c r="F8" s="279"/>
      <c r="G8" s="279"/>
      <c r="H8" s="279"/>
      <c r="I8" s="279"/>
    </row>
    <row r="9" spans="1:9" ht="13.5" x14ac:dyDescent="0.25">
      <c r="A9" s="547" t="s">
        <v>217</v>
      </c>
      <c r="B9" s="556"/>
      <c r="C9" s="556"/>
      <c r="D9" s="556"/>
      <c r="E9" s="556"/>
      <c r="F9" s="556"/>
      <c r="G9" s="556"/>
      <c r="H9" s="556"/>
      <c r="I9" s="548"/>
    </row>
    <row r="10" spans="1:9" ht="13.5" x14ac:dyDescent="0.25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ht="14.25" thickBot="1" x14ac:dyDescent="0.3">
      <c r="A11" s="286"/>
      <c r="B11" s="286"/>
      <c r="C11" s="286"/>
      <c r="D11" s="286"/>
      <c r="E11" s="286"/>
      <c r="F11" s="286"/>
      <c r="G11" s="286"/>
      <c r="H11" s="286"/>
      <c r="I11" s="286"/>
    </row>
    <row r="12" spans="1:9" ht="30" customHeight="1" thickBot="1" x14ac:dyDescent="0.3">
      <c r="A12" s="279"/>
      <c r="B12" s="309"/>
      <c r="C12" s="154" t="s">
        <v>219</v>
      </c>
      <c r="D12" s="158" t="s">
        <v>220</v>
      </c>
      <c r="E12" s="351" t="s">
        <v>221</v>
      </c>
      <c r="F12" s="354" t="s">
        <v>222</v>
      </c>
      <c r="G12" s="352" t="s">
        <v>223</v>
      </c>
      <c r="H12" s="352" t="s">
        <v>281</v>
      </c>
      <c r="I12" s="279"/>
    </row>
    <row r="13" spans="1:9" ht="15" thickBot="1" x14ac:dyDescent="0.3">
      <c r="A13" s="593" t="s">
        <v>224</v>
      </c>
      <c r="B13" s="594"/>
      <c r="C13" s="155">
        <v>1</v>
      </c>
      <c r="D13" s="155">
        <v>1</v>
      </c>
      <c r="E13" s="159">
        <v>1</v>
      </c>
      <c r="F13" s="353">
        <v>2</v>
      </c>
      <c r="G13" s="353">
        <v>2</v>
      </c>
      <c r="H13" s="353" t="s">
        <v>607</v>
      </c>
      <c r="I13" s="279"/>
    </row>
    <row r="14" spans="1:9" ht="15" thickBot="1" x14ac:dyDescent="0.3">
      <c r="A14" s="593" t="s">
        <v>4</v>
      </c>
      <c r="B14" s="594"/>
      <c r="C14" s="156">
        <v>2</v>
      </c>
      <c r="D14" s="156">
        <v>2</v>
      </c>
      <c r="E14" s="160">
        <v>2</v>
      </c>
      <c r="F14" s="353">
        <v>2</v>
      </c>
      <c r="G14" s="353">
        <v>2</v>
      </c>
      <c r="H14" s="353">
        <v>2</v>
      </c>
      <c r="I14" s="286"/>
    </row>
    <row r="15" spans="1:9" ht="15" thickBot="1" x14ac:dyDescent="0.3">
      <c r="A15" s="593" t="s">
        <v>234</v>
      </c>
      <c r="B15" s="594"/>
      <c r="C15" s="157">
        <v>1</v>
      </c>
      <c r="D15" s="157">
        <v>1</v>
      </c>
      <c r="E15" s="161">
        <v>1</v>
      </c>
      <c r="F15" s="355">
        <v>1</v>
      </c>
      <c r="G15" s="356">
        <v>1</v>
      </c>
      <c r="H15" s="356">
        <v>0.75</v>
      </c>
      <c r="I15" s="279"/>
    </row>
    <row r="19" spans="1:4" x14ac:dyDescent="0.2">
      <c r="A19" s="572" t="s">
        <v>227</v>
      </c>
      <c r="B19" s="573"/>
      <c r="C19" s="573"/>
      <c r="D19" s="574"/>
    </row>
  </sheetData>
  <sheetProtection algorithmName="SHA-512" hashValue="O0g+RIOWx1o4QmxN4xO293xtT0LFWK08TBQ0D1LZdvAjq+M4Va4e/J3tUkIX/SksomV7FaaxovtqZesU765qXA==" saltValue="ZJwUmvDlOKUtC7dFZ61RKA==" spinCount="100000" sheet="1" formatCells="0" formatColumns="0" formatRows="0" insertColumns="0" insertRows="0" insertHyperlinks="0" deleteColumns="0" deleteRows="0" pivotTables="0"/>
  <mergeCells count="20">
    <mergeCell ref="A19:D19"/>
    <mergeCell ref="A7:B7"/>
    <mergeCell ref="C7:I7"/>
    <mergeCell ref="A9:I9"/>
    <mergeCell ref="A13:B13"/>
    <mergeCell ref="A14:B14"/>
    <mergeCell ref="A15:B15"/>
    <mergeCell ref="A5:B5"/>
    <mergeCell ref="C5:D5"/>
    <mergeCell ref="E5:F5"/>
    <mergeCell ref="G5:I5"/>
    <mergeCell ref="A6:B6"/>
    <mergeCell ref="C6:D6"/>
    <mergeCell ref="E6:F6"/>
    <mergeCell ref="A2:C2"/>
    <mergeCell ref="D2:I2"/>
    <mergeCell ref="A4:B4"/>
    <mergeCell ref="C4:D4"/>
    <mergeCell ref="E4:F4"/>
    <mergeCell ref="G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5576-F02D-4FEE-83B5-DC3EA7779A2C}">
  <sheetPr>
    <tabColor theme="9" tint="-0.499984740745262"/>
    <pageSetUpPr fitToPage="1"/>
  </sheetPr>
  <dimension ref="B2:N41"/>
  <sheetViews>
    <sheetView showGridLines="0" topLeftCell="A4" zoomScale="80" zoomScaleNormal="80" workbookViewId="0">
      <selection activeCell="I19" sqref="I19"/>
    </sheetView>
  </sheetViews>
  <sheetFormatPr defaultColWidth="12.5703125" defaultRowHeight="15.75" customHeight="1" x14ac:dyDescent="0.2"/>
  <cols>
    <col min="1" max="1" width="3.42578125" customWidth="1"/>
    <col min="2" max="2" width="14.140625" customWidth="1"/>
    <col min="3" max="3" width="12.5703125" customWidth="1"/>
    <col min="4" max="4" width="17.28515625" bestFit="1" customWidth="1"/>
    <col min="5" max="9" width="12.5703125" customWidth="1"/>
    <col min="10" max="10" width="36.28515625" customWidth="1"/>
    <col min="11" max="13" width="8.85546875" customWidth="1"/>
    <col min="14" max="23" width="7.5703125" customWidth="1"/>
  </cols>
  <sheetData>
    <row r="2" spans="2:14" ht="55.5" customHeight="1" x14ac:dyDescent="0.25">
      <c r="B2" s="543"/>
      <c r="C2" s="544"/>
      <c r="D2" s="545"/>
      <c r="E2" s="546" t="s">
        <v>207</v>
      </c>
      <c r="F2" s="544"/>
      <c r="G2" s="544"/>
      <c r="H2" s="544"/>
      <c r="I2" s="544"/>
      <c r="J2" s="545"/>
      <c r="K2" s="1"/>
      <c r="L2" s="1"/>
      <c r="M2" s="1"/>
    </row>
    <row r="3" spans="2:14" ht="22.5" customHeight="1" x14ac:dyDescent="0.25">
      <c r="B3" s="281"/>
      <c r="C3" s="281"/>
      <c r="D3" s="282"/>
      <c r="E3" s="282"/>
      <c r="F3" s="282"/>
      <c r="G3" s="282"/>
      <c r="H3" s="282"/>
      <c r="I3" s="282"/>
      <c r="J3" s="279"/>
    </row>
    <row r="4" spans="2:14" ht="42" customHeight="1" x14ac:dyDescent="0.25">
      <c r="B4" s="547" t="s">
        <v>208</v>
      </c>
      <c r="C4" s="548"/>
      <c r="D4" s="549" t="e">
        <f>#REF!</f>
        <v>#REF!</v>
      </c>
      <c r="E4" s="545"/>
      <c r="F4" s="547" t="s">
        <v>209</v>
      </c>
      <c r="G4" s="548"/>
      <c r="H4" s="549" t="e">
        <f>#REF!</f>
        <v>#REF!</v>
      </c>
      <c r="I4" s="544"/>
      <c r="J4" s="545"/>
    </row>
    <row r="5" spans="2:14" ht="22.5" customHeight="1" x14ac:dyDescent="0.25">
      <c r="B5" s="547" t="s">
        <v>210</v>
      </c>
      <c r="C5" s="548"/>
      <c r="D5" s="575" t="e">
        <f>#REF!</f>
        <v>#REF!</v>
      </c>
      <c r="E5" s="577"/>
      <c r="F5" s="552" t="s">
        <v>211</v>
      </c>
      <c r="G5" s="548"/>
      <c r="H5" s="553" t="s">
        <v>235</v>
      </c>
      <c r="I5" s="554"/>
      <c r="J5" s="555"/>
    </row>
    <row r="6" spans="2:14" ht="22.5" customHeight="1" x14ac:dyDescent="0.25">
      <c r="B6" s="547" t="s">
        <v>213</v>
      </c>
      <c r="C6" s="548"/>
      <c r="D6" s="549" t="s">
        <v>214</v>
      </c>
      <c r="E6" s="545"/>
      <c r="F6" s="547" t="s">
        <v>236</v>
      </c>
      <c r="G6" s="556"/>
      <c r="H6" s="276" t="e">
        <f>#REF!</f>
        <v>#REF!</v>
      </c>
      <c r="I6" s="284"/>
      <c r="J6" s="285"/>
    </row>
    <row r="7" spans="2:14" ht="22.5" customHeight="1" x14ac:dyDescent="0.25">
      <c r="B7" s="547" t="s">
        <v>216</v>
      </c>
      <c r="C7" s="548"/>
      <c r="D7" s="549" t="e">
        <f>#REF!</f>
        <v>#REF!</v>
      </c>
      <c r="E7" s="544"/>
      <c r="F7" s="544"/>
      <c r="G7" s="544"/>
      <c r="H7" s="557"/>
      <c r="I7" s="557"/>
      <c r="J7" s="558"/>
      <c r="K7" s="2"/>
    </row>
    <row r="8" spans="2:14" ht="7.5" customHeight="1" x14ac:dyDescent="0.25">
      <c r="B8" s="279"/>
      <c r="C8" s="279"/>
      <c r="D8" s="279"/>
      <c r="E8" s="279"/>
      <c r="F8" s="279"/>
      <c r="G8" s="279"/>
      <c r="H8" s="279"/>
      <c r="I8" s="279"/>
      <c r="J8" s="279"/>
    </row>
    <row r="9" spans="2:14" ht="22.5" customHeight="1" x14ac:dyDescent="0.25">
      <c r="B9" s="547" t="s">
        <v>217</v>
      </c>
      <c r="C9" s="556"/>
      <c r="D9" s="556"/>
      <c r="E9" s="556"/>
      <c r="F9" s="556"/>
      <c r="G9" s="556"/>
      <c r="H9" s="556"/>
      <c r="I9" s="556"/>
      <c r="J9" s="548"/>
      <c r="K9" s="3"/>
    </row>
    <row r="10" spans="2:14" ht="13.5" x14ac:dyDescent="0.25">
      <c r="B10" s="302"/>
      <c r="C10" s="293"/>
      <c r="D10" s="293"/>
      <c r="E10" s="293"/>
      <c r="F10" s="293"/>
      <c r="G10" s="293"/>
      <c r="H10" s="293"/>
      <c r="I10" s="293"/>
      <c r="J10" s="293"/>
    </row>
    <row r="11" spans="2:14" ht="22.5" customHeight="1" x14ac:dyDescent="0.25">
      <c r="B11" s="279"/>
      <c r="C11" s="279"/>
      <c r="D11" s="279"/>
      <c r="E11" s="279"/>
      <c r="F11" s="279"/>
      <c r="G11" s="279"/>
      <c r="H11" s="279"/>
      <c r="I11" s="279"/>
      <c r="J11" s="279"/>
    </row>
    <row r="12" spans="2:14" ht="22.5" customHeight="1" x14ac:dyDescent="0.25">
      <c r="B12" s="608" t="s">
        <v>237</v>
      </c>
      <c r="C12" s="609"/>
      <c r="D12" s="99" t="s">
        <v>218</v>
      </c>
      <c r="E12" s="99" t="s">
        <v>219</v>
      </c>
      <c r="F12" s="99" t="s">
        <v>220</v>
      </c>
      <c r="G12" s="99" t="s">
        <v>221</v>
      </c>
      <c r="H12" s="99" t="s">
        <v>222</v>
      </c>
      <c r="I12" s="99" t="s">
        <v>223</v>
      </c>
      <c r="J12" s="292"/>
      <c r="K12" s="572" t="s">
        <v>228</v>
      </c>
      <c r="L12" s="573"/>
      <c r="M12" s="573"/>
      <c r="N12" s="574"/>
    </row>
    <row r="13" spans="2:14" ht="22.5" customHeight="1" x14ac:dyDescent="0.2">
      <c r="B13" s="597" t="s">
        <v>238</v>
      </c>
      <c r="C13" s="597"/>
      <c r="D13" s="87">
        <v>0.7</v>
      </c>
      <c r="E13" s="87">
        <v>1.2</v>
      </c>
      <c r="F13" s="87">
        <v>1</v>
      </c>
      <c r="G13" s="87">
        <v>0.9</v>
      </c>
      <c r="H13" s="87">
        <v>0.8</v>
      </c>
      <c r="I13" s="87">
        <v>0.5</v>
      </c>
      <c r="J13" s="292"/>
      <c r="K13" s="7"/>
      <c r="L13" s="7"/>
      <c r="M13" s="7"/>
      <c r="N13" s="7"/>
    </row>
    <row r="14" spans="2:14" ht="43.5" customHeight="1" x14ac:dyDescent="0.2">
      <c r="B14" s="597" t="s">
        <v>239</v>
      </c>
      <c r="C14" s="597"/>
      <c r="D14" s="87">
        <v>1.2</v>
      </c>
      <c r="E14" s="87">
        <v>1.1000000000000001</v>
      </c>
      <c r="F14" s="87">
        <v>1</v>
      </c>
      <c r="G14" s="87">
        <v>1.2</v>
      </c>
      <c r="H14" s="87">
        <v>0.8</v>
      </c>
      <c r="I14" s="87">
        <v>1.3</v>
      </c>
      <c r="J14" s="292"/>
      <c r="K14" s="610" t="s">
        <v>169</v>
      </c>
      <c r="L14" s="611"/>
      <c r="M14" s="611"/>
      <c r="N14" s="612"/>
    </row>
    <row r="15" spans="2:14" ht="29.25" customHeight="1" x14ac:dyDescent="0.2">
      <c r="B15" s="597" t="s">
        <v>240</v>
      </c>
      <c r="C15" s="597"/>
      <c r="D15" s="87">
        <v>0.7</v>
      </c>
      <c r="E15" s="87">
        <v>0.7</v>
      </c>
      <c r="F15" s="87">
        <v>0.8</v>
      </c>
      <c r="G15" s="87">
        <v>1.6</v>
      </c>
      <c r="H15" s="87">
        <v>1.1000000000000001</v>
      </c>
      <c r="I15" s="87">
        <v>1.1000000000000001</v>
      </c>
      <c r="J15" s="292"/>
      <c r="K15" s="613"/>
      <c r="L15" s="614"/>
      <c r="M15" s="614"/>
      <c r="N15" s="615"/>
    </row>
    <row r="16" spans="2:14" ht="20.25" x14ac:dyDescent="0.2">
      <c r="B16" s="597" t="s">
        <v>241</v>
      </c>
      <c r="C16" s="597"/>
      <c r="D16" s="87">
        <v>1.8</v>
      </c>
      <c r="E16" s="87">
        <v>2.2000000000000002</v>
      </c>
      <c r="F16" s="87">
        <v>2.1</v>
      </c>
      <c r="G16" s="87">
        <v>2.4</v>
      </c>
      <c r="H16" s="87">
        <v>2.2000000000000002</v>
      </c>
      <c r="I16" s="87">
        <v>2.2999999999999998</v>
      </c>
      <c r="J16" s="292"/>
      <c r="K16" s="613"/>
      <c r="L16" s="614"/>
      <c r="M16" s="614"/>
      <c r="N16" s="615"/>
    </row>
    <row r="17" spans="2:14" ht="29.25" customHeight="1" x14ac:dyDescent="0.2">
      <c r="B17" s="597" t="s">
        <v>242</v>
      </c>
      <c r="C17" s="597"/>
      <c r="D17" s="87">
        <v>5.9</v>
      </c>
      <c r="E17" s="87">
        <v>4.7</v>
      </c>
      <c r="F17" s="87">
        <v>4</v>
      </c>
      <c r="G17" s="87">
        <v>5</v>
      </c>
      <c r="H17" s="87">
        <v>5.2</v>
      </c>
      <c r="I17" s="87">
        <v>3.6</v>
      </c>
      <c r="J17" s="292"/>
      <c r="K17" s="613"/>
      <c r="L17" s="614"/>
      <c r="M17" s="614"/>
      <c r="N17" s="615"/>
    </row>
    <row r="18" spans="2:14" ht="29.25" customHeight="1" x14ac:dyDescent="0.2">
      <c r="B18" s="597" t="s">
        <v>243</v>
      </c>
      <c r="C18" s="597"/>
      <c r="D18" s="87">
        <v>1.9</v>
      </c>
      <c r="E18" s="87">
        <v>1.8</v>
      </c>
      <c r="F18" s="87">
        <v>1.9</v>
      </c>
      <c r="G18" s="87">
        <v>1.9</v>
      </c>
      <c r="H18" s="87">
        <v>2</v>
      </c>
      <c r="I18" s="87">
        <v>1.5</v>
      </c>
      <c r="J18" s="292"/>
      <c r="K18" s="613"/>
      <c r="L18" s="614"/>
      <c r="M18" s="614"/>
      <c r="N18" s="615"/>
    </row>
    <row r="19" spans="2:14" ht="22.5" customHeight="1" x14ac:dyDescent="0.2">
      <c r="B19" s="597" t="s">
        <v>244</v>
      </c>
      <c r="C19" s="597"/>
      <c r="D19" s="87">
        <v>0.4</v>
      </c>
      <c r="E19" s="87">
        <v>0.4</v>
      </c>
      <c r="F19" s="87">
        <v>0.4</v>
      </c>
      <c r="G19" s="132">
        <v>0.5</v>
      </c>
      <c r="H19" s="132">
        <v>0.5</v>
      </c>
      <c r="I19" s="132">
        <v>0.4</v>
      </c>
      <c r="J19" s="292"/>
      <c r="K19" s="613"/>
      <c r="L19" s="614"/>
      <c r="M19" s="614"/>
      <c r="N19" s="615"/>
    </row>
    <row r="20" spans="2:14" ht="57.75" customHeight="1" x14ac:dyDescent="0.2">
      <c r="B20" s="597" t="s">
        <v>245</v>
      </c>
      <c r="C20" s="597"/>
      <c r="D20" s="87" t="s">
        <v>232</v>
      </c>
      <c r="E20" s="87">
        <v>1</v>
      </c>
      <c r="F20" s="87">
        <v>1.3</v>
      </c>
      <c r="G20" s="87">
        <v>1.4</v>
      </c>
      <c r="H20" s="87">
        <v>1.3</v>
      </c>
      <c r="I20" s="87">
        <v>0.9</v>
      </c>
      <c r="J20" s="292"/>
      <c r="K20" s="613"/>
      <c r="L20" s="614"/>
      <c r="M20" s="614"/>
      <c r="N20" s="615"/>
    </row>
    <row r="21" spans="2:14" ht="22.5" customHeight="1" x14ac:dyDescent="0.2">
      <c r="B21" s="597" t="s">
        <v>246</v>
      </c>
      <c r="C21" s="597"/>
      <c r="D21" s="87">
        <v>1</v>
      </c>
      <c r="E21" s="87">
        <v>1.2</v>
      </c>
      <c r="F21" s="87">
        <v>1.2</v>
      </c>
      <c r="G21" s="87">
        <v>2</v>
      </c>
      <c r="H21" s="87">
        <v>1.7</v>
      </c>
      <c r="I21" s="87">
        <v>1.4</v>
      </c>
      <c r="J21" s="292"/>
      <c r="K21" s="613"/>
      <c r="L21" s="614"/>
      <c r="M21" s="614"/>
      <c r="N21" s="615"/>
    </row>
    <row r="22" spans="2:14" ht="43.5" customHeight="1" x14ac:dyDescent="0.2">
      <c r="B22" s="597" t="s">
        <v>247</v>
      </c>
      <c r="C22" s="597"/>
      <c r="D22" s="87">
        <v>1.3</v>
      </c>
      <c r="E22" s="87">
        <v>1</v>
      </c>
      <c r="F22" s="87">
        <v>1.1000000000000001</v>
      </c>
      <c r="G22" s="87">
        <v>1.1000000000000001</v>
      </c>
      <c r="H22" s="87">
        <v>1.2</v>
      </c>
      <c r="I22" s="87">
        <v>1.2</v>
      </c>
      <c r="J22" s="292"/>
      <c r="K22" s="616"/>
      <c r="L22" s="617"/>
      <c r="M22" s="617"/>
      <c r="N22" s="618"/>
    </row>
    <row r="23" spans="2:14" ht="22.5" customHeight="1" x14ac:dyDescent="0.25">
      <c r="B23" s="597" t="s">
        <v>248</v>
      </c>
      <c r="C23" s="597"/>
      <c r="D23" s="87">
        <v>1</v>
      </c>
      <c r="E23" s="87">
        <v>1</v>
      </c>
      <c r="F23" s="87">
        <v>1.1000000000000001</v>
      </c>
      <c r="G23" s="87">
        <v>0.9</v>
      </c>
      <c r="H23" s="87">
        <v>1.1000000000000001</v>
      </c>
      <c r="I23" s="87">
        <v>1</v>
      </c>
      <c r="J23" s="279"/>
    </row>
    <row r="24" spans="2:14" ht="22.5" customHeight="1" x14ac:dyDescent="0.25">
      <c r="B24" s="604" t="s">
        <v>249</v>
      </c>
      <c r="C24" s="605"/>
      <c r="D24" s="174">
        <v>0.8</v>
      </c>
      <c r="E24" s="174">
        <v>0.8</v>
      </c>
      <c r="F24" s="174">
        <v>0.8</v>
      </c>
      <c r="G24" s="174">
        <v>0.8</v>
      </c>
      <c r="H24" s="174">
        <v>0.8</v>
      </c>
      <c r="I24" s="174">
        <v>0.8</v>
      </c>
      <c r="J24" s="279"/>
    </row>
    <row r="25" spans="2:14" ht="22.5" customHeight="1" x14ac:dyDescent="0.25">
      <c r="B25" s="600" t="s">
        <v>250</v>
      </c>
      <c r="C25" s="601"/>
      <c r="D25" s="310">
        <f>COUNTIF(D13:D23,"&gt;=0,8")</f>
        <v>7</v>
      </c>
      <c r="E25" s="310">
        <f t="shared" ref="E25:G25" si="0">COUNTIF(E13:E23,"&gt;=0,8")</f>
        <v>9</v>
      </c>
      <c r="F25" s="310">
        <f t="shared" si="0"/>
        <v>10</v>
      </c>
      <c r="G25" s="310">
        <f t="shared" si="0"/>
        <v>10</v>
      </c>
      <c r="H25" s="310">
        <f>COUNTIF(H13:H23,"&gt;=0,8")</f>
        <v>10</v>
      </c>
      <c r="I25" s="310">
        <f>COUNTIF(I13:I23,"&gt;=0,8")</f>
        <v>9</v>
      </c>
      <c r="J25" s="279"/>
    </row>
    <row r="26" spans="2:14" ht="22.5" customHeight="1" x14ac:dyDescent="0.25">
      <c r="B26" s="598" t="s">
        <v>251</v>
      </c>
      <c r="C26" s="599"/>
      <c r="D26" s="310">
        <f>COUNT(D13:D23)</f>
        <v>10</v>
      </c>
      <c r="E26" s="310">
        <f t="shared" ref="E26:G26" si="1">COUNT(E13:E23)</f>
        <v>11</v>
      </c>
      <c r="F26" s="310">
        <f t="shared" si="1"/>
        <v>11</v>
      </c>
      <c r="G26" s="310">
        <f t="shared" si="1"/>
        <v>11</v>
      </c>
      <c r="H26" s="310">
        <f>COUNT(H13:H23)</f>
        <v>11</v>
      </c>
      <c r="I26" s="310">
        <f>COUNT(I13:I23)</f>
        <v>11</v>
      </c>
      <c r="J26" s="279"/>
    </row>
    <row r="27" spans="2:14" ht="22.5" customHeight="1" x14ac:dyDescent="0.25">
      <c r="B27" s="606" t="s">
        <v>226</v>
      </c>
      <c r="C27" s="607"/>
      <c r="D27" s="101">
        <f>(D25/D26)</f>
        <v>0.7</v>
      </c>
      <c r="E27" s="57">
        <f t="shared" ref="E27:G27" si="2">(E25/E26)</f>
        <v>0.81818181818181823</v>
      </c>
      <c r="F27" s="57">
        <f t="shared" si="2"/>
        <v>0.90909090909090906</v>
      </c>
      <c r="G27" s="57">
        <f t="shared" si="2"/>
        <v>0.90909090909090906</v>
      </c>
      <c r="H27" s="57">
        <f>(H25/H26)</f>
        <v>0.90909090909090906</v>
      </c>
      <c r="I27" s="57">
        <f>(I25/I26)</f>
        <v>0.81818181818181823</v>
      </c>
      <c r="J27" s="279"/>
    </row>
    <row r="28" spans="2:14" ht="22.5" customHeight="1" x14ac:dyDescent="0.3">
      <c r="B28" s="291"/>
      <c r="C28" s="291"/>
      <c r="D28" s="286"/>
      <c r="E28" s="286"/>
      <c r="F28" s="286"/>
      <c r="G28" s="286"/>
      <c r="H28" s="286"/>
      <c r="I28" s="286"/>
      <c r="J28" s="286"/>
    </row>
    <row r="29" spans="2:14" ht="22.5" customHeight="1" x14ac:dyDescent="0.2">
      <c r="B29" s="602" t="s">
        <v>227</v>
      </c>
      <c r="C29" s="603"/>
      <c r="D29" s="603"/>
      <c r="E29" s="603"/>
      <c r="F29" s="603"/>
      <c r="G29" s="603"/>
      <c r="H29" s="603"/>
      <c r="I29" s="603"/>
      <c r="J29" s="603"/>
    </row>
    <row r="41" spans="8:10" ht="19.5" customHeight="1" x14ac:dyDescent="0.2">
      <c r="H41" s="568" t="s">
        <v>169</v>
      </c>
      <c r="I41" s="569"/>
      <c r="J41" s="569"/>
    </row>
  </sheetData>
  <sheetProtection algorithmName="SHA-512" hashValue="aDjgtYZCHyTPgxlF5jMZTb4+tlYDn8iLOGKHG74OZ0/dg0OhtZrgFgdzYQw2g4ChpqCTHi6p17HyG7SqBdJyPQ==" saltValue="3yVbQdK0uUtEljHwFCCnUQ==" spinCount="100000" sheet="1" formatCells="0" formatColumns="0" formatRows="0" insertColumns="0" insertRows="0" insertHyperlinks="0" deleteColumns="0" deleteRows="0" pivotTables="0"/>
  <mergeCells count="36">
    <mergeCell ref="B2:D2"/>
    <mergeCell ref="E2:J2"/>
    <mergeCell ref="B4:C4"/>
    <mergeCell ref="D4:E4"/>
    <mergeCell ref="F4:G4"/>
    <mergeCell ref="H4:J4"/>
    <mergeCell ref="B7:C7"/>
    <mergeCell ref="D7:J7"/>
    <mergeCell ref="B5:C5"/>
    <mergeCell ref="D5:E5"/>
    <mergeCell ref="F5:G5"/>
    <mergeCell ref="H5:J5"/>
    <mergeCell ref="B6:C6"/>
    <mergeCell ref="D6:E6"/>
    <mergeCell ref="F6:G6"/>
    <mergeCell ref="B9:J9"/>
    <mergeCell ref="B13:C13"/>
    <mergeCell ref="B24:C24"/>
    <mergeCell ref="B27:C27"/>
    <mergeCell ref="K12:N12"/>
    <mergeCell ref="B20:C20"/>
    <mergeCell ref="B21:C21"/>
    <mergeCell ref="B22:C22"/>
    <mergeCell ref="B23:C23"/>
    <mergeCell ref="B12:C12"/>
    <mergeCell ref="K14:N22"/>
    <mergeCell ref="H41:J41"/>
    <mergeCell ref="B14:C14"/>
    <mergeCell ref="B15:C15"/>
    <mergeCell ref="B16:C16"/>
    <mergeCell ref="B17:C17"/>
    <mergeCell ref="B18:C18"/>
    <mergeCell ref="B19:C19"/>
    <mergeCell ref="B26:C26"/>
    <mergeCell ref="B25:C25"/>
    <mergeCell ref="B29:J29"/>
  </mergeCells>
  <phoneticPr fontId="23" type="noConversion"/>
  <conditionalFormatting sqref="D13:I23">
    <cfRule type="cellIs" dxfId="57" priority="1" operator="between">
      <formula>0</formula>
      <formula>0.71</formula>
    </cfRule>
  </conditionalFormatting>
  <pageMargins left="0.7" right="0.7" top="0.75" bottom="0.75" header="0" footer="0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E531AB52E0FB40A6634DAC2D5B373D" ma:contentTypeVersion="13" ma:contentTypeDescription="Crea un document nou" ma:contentTypeScope="" ma:versionID="21f655613901f4292207d4211c97a7e3">
  <xsd:schema xmlns:xsd="http://www.w3.org/2001/XMLSchema" xmlns:xs="http://www.w3.org/2001/XMLSchema" xmlns:p="http://schemas.microsoft.com/office/2006/metadata/properties" xmlns:ns2="010129b1-be29-498c-9e07-dbfdb8932fef" xmlns:ns3="38633fc6-6824-4779-96fc-75d94a1a155d" targetNamespace="http://schemas.microsoft.com/office/2006/metadata/properties" ma:root="true" ma:fieldsID="21ec69e0f18e75d407709bbfc1fdc2f3" ns2:_="" ns3:_="">
    <xsd:import namespace="010129b1-be29-498c-9e07-dbfdb8932fef"/>
    <xsd:import namespace="38633fc6-6824-4779-96fc-75d94a1a15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hora" minOccurs="0"/>
                <xsd:element ref="ns3:Perso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129b1-be29-498c-9e07-dbfdb8932f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33fc6-6824-4779-96fc-75d94a1a1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ora" ma:index="19" nillable="true" ma:displayName="hora" ma:format="DateOnly" ma:internalName="hora">
      <xsd:simpleType>
        <xsd:restriction base="dms:DateTime"/>
      </xsd:simpleType>
    </xsd:element>
    <xsd:element name="Persona" ma:index="20" nillable="true" ma:displayName="Persona" ma:format="Dropdown" ma:list="UserInfo" ma:SharePointGroup="0" ma:internalName="Person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0129b1-be29-498c-9e07-dbfdb8932fef">
      <UserInfo>
        <DisplayName>Sara Bertobillo Cunill</DisplayName>
        <AccountId>27</AccountId>
        <AccountType/>
      </UserInfo>
    </SharedWithUsers>
    <lcf76f155ced4ddcb4097134ff3c332f xmlns="38633fc6-6824-4779-96fc-75d94a1a155d">
      <Terms xmlns="http://schemas.microsoft.com/office/infopath/2007/PartnerControls"/>
    </lcf76f155ced4ddcb4097134ff3c332f>
    <hora xmlns="38633fc6-6824-4779-96fc-75d94a1a155d" xsi:nil="true"/>
    <Persona xmlns="38633fc6-6824-4779-96fc-75d94a1a155d">
      <UserInfo>
        <DisplayName/>
        <AccountId xsi:nil="true"/>
        <AccountType/>
      </UserInfo>
    </Persona>
  </documentManagement>
</p:properties>
</file>

<file path=customXml/itemProps1.xml><?xml version="1.0" encoding="utf-8"?>
<ds:datastoreItem xmlns:ds="http://schemas.openxmlformats.org/officeDocument/2006/customXml" ds:itemID="{A34E2238-348D-4A1F-B1E3-347B37845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129b1-be29-498c-9e07-dbfdb8932fef"/>
    <ds:schemaRef ds:uri="38633fc6-6824-4779-96fc-75d94a1a1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071EEC-D577-423E-9BCC-3C1AEBF726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CDED2-8CC9-4F10-82D6-5C6570580221}">
  <ds:schemaRefs>
    <ds:schemaRef ds:uri="http://purl.org/dc/elements/1.1/"/>
    <ds:schemaRef ds:uri="http://schemas.microsoft.com/office/2006/documentManagement/types"/>
    <ds:schemaRef ds:uri="010129b1-be29-498c-9e07-dbfdb8932fef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8633fc6-6824-4779-96fc-75d94a1a155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Fulls de càlcul</vt:lpstr>
      </vt:variant>
      <vt:variant>
        <vt:i4>73</vt:i4>
      </vt:variant>
    </vt:vector>
  </HeadingPairs>
  <TitlesOfParts>
    <vt:vector size="73" baseType="lpstr">
      <vt:lpstr>índex</vt:lpstr>
      <vt:lpstr>PE1.01_Ind01 </vt:lpstr>
      <vt:lpstr>PE1.01_Ind02</vt:lpstr>
      <vt:lpstr>PE1.01_Ind03 </vt:lpstr>
      <vt:lpstr>PE1.01_Ind04 </vt:lpstr>
      <vt:lpstr>PE1.02_Ind01</vt:lpstr>
      <vt:lpstr>PE1.02_Ind02</vt:lpstr>
      <vt:lpstr>PE1.02_Ind03</vt:lpstr>
      <vt:lpstr>PE1.03_Ind01</vt:lpstr>
      <vt:lpstr>PE1.03_Ind02</vt:lpstr>
      <vt:lpstr>PE1.03_Ind03</vt:lpstr>
      <vt:lpstr>PE1.03_Ind04 </vt:lpstr>
      <vt:lpstr>PE1.03_Ind05</vt:lpstr>
      <vt:lpstr>PE1.03_Ind06</vt:lpstr>
      <vt:lpstr>PE1.03_Ind07</vt:lpstr>
      <vt:lpstr>PC2.01_Ind01</vt:lpstr>
      <vt:lpstr>PC2.01_Ind02</vt:lpstr>
      <vt:lpstr>PC2.01_Ind03</vt:lpstr>
      <vt:lpstr>PC2.01_Ind04</vt:lpstr>
      <vt:lpstr>PC2.01_Ind05</vt:lpstr>
      <vt:lpstr>PC2.02_Ind01</vt:lpstr>
      <vt:lpstr>PC2.03_Ind01</vt:lpstr>
      <vt:lpstr>PC2.03_Ind02</vt:lpstr>
      <vt:lpstr>PC2.04_Ind01</vt:lpstr>
      <vt:lpstr>PC2.04_Ind02</vt:lpstr>
      <vt:lpstr>PC2.04_Ind03</vt:lpstr>
      <vt:lpstr>PC2.04_Ind4</vt:lpstr>
      <vt:lpstr>PC2.05_Ind01</vt:lpstr>
      <vt:lpstr>PC3.01_Ind01</vt:lpstr>
      <vt:lpstr>PC3.01_Ind02.</vt:lpstr>
      <vt:lpstr>PC3.01_Ind03</vt:lpstr>
      <vt:lpstr>PC3.01_Ind04 </vt:lpstr>
      <vt:lpstr>PC3.01_Ind05</vt:lpstr>
      <vt:lpstr>PC3.02_Ind01</vt:lpstr>
      <vt:lpstr>PC3.03_Ind01</vt:lpstr>
      <vt:lpstr>PC3.03_Ind02</vt:lpstr>
      <vt:lpstr>PC3.03_Ind03</vt:lpstr>
      <vt:lpstr>PC3.03_Ind04</vt:lpstr>
      <vt:lpstr>PC3.03_Ind05</vt:lpstr>
      <vt:lpstr>PC3.04_Ind01</vt:lpstr>
      <vt:lpstr>PC3.04_Ind02 </vt:lpstr>
      <vt:lpstr>PC3.04_Ind03</vt:lpstr>
      <vt:lpstr>PC3.05_Ind01</vt:lpstr>
      <vt:lpstr>PC3.05_Ind02</vt:lpstr>
      <vt:lpstr>PS4.01_Ind01</vt:lpstr>
      <vt:lpstr>PS4.01_Ind02</vt:lpstr>
      <vt:lpstr>PS4.02_Ind01</vt:lpstr>
      <vt:lpstr>PS4.02_Ind02</vt:lpstr>
      <vt:lpstr>PS4.02_Ind03</vt:lpstr>
      <vt:lpstr>PS4.02_Ind04</vt:lpstr>
      <vt:lpstr>PS4.03_Ind01</vt:lpstr>
      <vt:lpstr>PS4.03_Ind02</vt:lpstr>
      <vt:lpstr>PS4.03_Ind03</vt:lpstr>
      <vt:lpstr>PS4.03_Ind04</vt:lpstr>
      <vt:lpstr>PS4.03_Ind05</vt:lpstr>
      <vt:lpstr>PS4.03_Ind06</vt:lpstr>
      <vt:lpstr>PS4.04_Ind01</vt:lpstr>
      <vt:lpstr>PS4.04_Ind02</vt:lpstr>
      <vt:lpstr>PS4.04_Ind03.</vt:lpstr>
      <vt:lpstr>PS4.05_Ind01</vt:lpstr>
      <vt:lpstr>PS4.05_Ind02</vt:lpstr>
      <vt:lpstr>PS5.03_Ind01</vt:lpstr>
      <vt:lpstr>PS5.03_Ind02</vt:lpstr>
      <vt:lpstr>PS5.03_Ind03</vt:lpstr>
      <vt:lpstr>PS5.03_Ind04</vt:lpstr>
      <vt:lpstr>PS5.04_Ind01</vt:lpstr>
      <vt:lpstr>PS5.04_Ind02</vt:lpstr>
      <vt:lpstr>PS5.04_Ind03</vt:lpstr>
      <vt:lpstr>PS5.04_Ind04</vt:lpstr>
      <vt:lpstr>PS5.05_Ind01</vt:lpstr>
      <vt:lpstr>PS5.05_Ind02</vt:lpstr>
      <vt:lpstr>PS5.05_Ind03 </vt:lpstr>
      <vt:lpstr>PS5.06_Ind01 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Jorba Escribano</dc:creator>
  <cp:keywords/>
  <dc:description/>
  <cp:lastModifiedBy>Mar Jorba Escribano</cp:lastModifiedBy>
  <cp:revision/>
  <cp:lastPrinted>2024-06-04T09:38:09Z</cp:lastPrinted>
  <dcterms:created xsi:type="dcterms:W3CDTF">2022-05-24T11:24:28Z</dcterms:created>
  <dcterms:modified xsi:type="dcterms:W3CDTF">2024-06-13T09:18:35Z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0x0101004CE531AB52E0FB40A6634DAC2D5B373D</vt:lpwstr>
  </property>
  <property fmtid="{D5CDD505-2E9C-101B-9397-08002B2CF9AE}" pid="3" name="MediaServiceImageTags">
    <vt:lpwstr/>
  </property>
  <property fmtid="{D5CDD505-2E9C-101B-9397-08002B2CF9AE}" pid="4" name="Order">
    <vt:r8>2071200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