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6.xml" ContentType="application/vnd.openxmlformats-officedocument.drawing+xml"/>
  <Override PartName="/xl/comments1.xml" ContentType="application/vnd.openxmlformats-officedocument.spreadsheetml.comments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54.xml" ContentType="application/vnd.openxmlformats-officedocument.drawing+xml"/>
  <Override PartName="/xl/charts/chart54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55.xml" ContentType="application/vnd.openxmlformats-officedocument.drawing+xml"/>
  <Override PartName="/xl/charts/chart55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56.xml" ContentType="application/vnd.openxmlformats-officedocument.drawing+xml"/>
  <Override PartName="/xl/charts/chart56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57.xml" ContentType="application/vnd.openxmlformats-officedocument.drawing+xml"/>
  <Override PartName="/xl/charts/chart57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58.xml" ContentType="application/vnd.openxmlformats-officedocument.drawing+xml"/>
  <Override PartName="/xl/charts/chart58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59.xml" ContentType="application/vnd.openxmlformats-officedocument.drawing+xml"/>
  <Override PartName="/xl/charts/chart59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60.xml" ContentType="application/vnd.openxmlformats-officedocument.drawing+xml"/>
  <Override PartName="/xl/charts/chart60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61.xml" ContentType="application/vnd.openxmlformats-officedocument.drawing+xml"/>
  <Override PartName="/xl/charts/chart61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62.xml" ContentType="application/vnd.openxmlformats-officedocument.drawing+xml"/>
  <Override PartName="/xl/charts/chart62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63.xml" ContentType="application/vnd.openxmlformats-officedocument.drawing+xml"/>
  <Override PartName="/xl/charts/chart63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64.xml" ContentType="application/vnd.openxmlformats-officedocument.drawing+xml"/>
  <Override PartName="/xl/charts/chart64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65.xml" ContentType="application/vnd.openxmlformats-officedocument.drawing+xml"/>
  <Override PartName="/xl/charts/chart65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66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67.xml" ContentType="application/vnd.openxmlformats-officedocument.drawing+xml"/>
  <Override PartName="/xl/charts/chart68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68.xml" ContentType="application/vnd.openxmlformats-officedocument.drawing+xml"/>
  <Override PartName="/xl/charts/chart69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69.xml" ContentType="application/vnd.openxmlformats-officedocument.drawing+xml"/>
  <Override PartName="/xl/charts/chart70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70.xml" ContentType="application/vnd.openxmlformats-officedocument.drawing+xml"/>
  <Override PartName="/xl/charts/chart71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71.xml" ContentType="application/vnd.openxmlformats-officedocument.drawing+xml"/>
  <Override PartName="/xl/charts/chart72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72.xml" ContentType="application/vnd.openxmlformats-officedocument.drawing+xml"/>
  <Override PartName="/xl/charts/chart73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73.xml" ContentType="application/vnd.openxmlformats-officedocument.drawing+xml"/>
  <Override PartName="/xl/charts/chart74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2080136\Downloads\"/>
    </mc:Choice>
  </mc:AlternateContent>
  <xr:revisionPtr revIDLastSave="0" documentId="8_{12B496FB-E847-4426-8AB2-5C8858D4C436}" xr6:coauthVersionLast="47" xr6:coauthVersionMax="47" xr10:uidLastSave="{00000000-0000-0000-0000-000000000000}"/>
  <bookViews>
    <workbookView xWindow="-120" yWindow="-120" windowWidth="29040" windowHeight="15720" tabRatio="968" activeTab="11" xr2:uid="{00000000-000D-0000-FFFF-FFFF00000000}"/>
  </bookViews>
  <sheets>
    <sheet name="Índex" sheetId="1" r:id="rId1"/>
    <sheet name="PE1.01_Ind01 " sheetId="178" r:id="rId2"/>
    <sheet name="PE1.01_Ind02" sheetId="2" r:id="rId3"/>
    <sheet name="PE1.01_Ind03 " sheetId="215" r:id="rId4"/>
    <sheet name="PE1.01_Ind04 " sheetId="214" r:id="rId5"/>
    <sheet name="PE1.02_Ind01" sheetId="217" r:id="rId6"/>
    <sheet name="PE1.02_Ind02" sheetId="194" r:id="rId7"/>
    <sheet name="PE1.02_Ind03" sheetId="222" r:id="rId8"/>
    <sheet name="PE1.03_Ind01" sheetId="83" r:id="rId9"/>
    <sheet name="PE1.03_Ind02" sheetId="84" r:id="rId10"/>
    <sheet name="PE1.03_Ind03" sheetId="85" r:id="rId11"/>
    <sheet name="PE1.03_Ind04 " sheetId="86" r:id="rId12"/>
    <sheet name="PE1.03_Ind05" sheetId="79" r:id="rId13"/>
    <sheet name="PE1.03_Ind06" sheetId="218" r:id="rId14"/>
    <sheet name="PE1.03_Ind07" sheetId="219" r:id="rId15"/>
    <sheet name="PC2.01_Ind01" sheetId="91" r:id="rId16"/>
    <sheet name="PC2.01_Ind02" sheetId="93" r:id="rId17"/>
    <sheet name="PC2.01_Ind03" sheetId="180" r:id="rId18"/>
    <sheet name="PC2.01_Ind04" sheetId="181" r:id="rId19"/>
    <sheet name="PC2.01_Ind05" sheetId="195" r:id="rId20"/>
    <sheet name="PC2.02_Ind01" sheetId="95" r:id="rId21"/>
    <sheet name="PC2.03_Ind01" sheetId="97" r:id="rId22"/>
    <sheet name="PC2.03_Ind02" sheetId="99" r:id="rId23"/>
    <sheet name="PC2.04_Ind01" sheetId="101" r:id="rId24"/>
    <sheet name="PC2.04_Ind02" sheetId="103" r:id="rId25"/>
    <sheet name="PC2.04_Ind03" sheetId="106" r:id="rId26"/>
    <sheet name="PC2.04_Ind4" sheetId="109" r:id="rId27"/>
    <sheet name="PC2.05_Ind01" sheetId="188" r:id="rId28"/>
    <sheet name="PC3.01_Ind01" sheetId="110" r:id="rId29"/>
    <sheet name="PC3.01_Ind02." sheetId="114" r:id="rId30"/>
    <sheet name="PC3.01_Ind03" sheetId="190" r:id="rId31"/>
    <sheet name="PC3.01_Ind04 " sheetId="118" r:id="rId32"/>
    <sheet name="PC3.01_Ind05" sheetId="197" r:id="rId33"/>
    <sheet name="PC3.02_Ind01" sheetId="122" r:id="rId34"/>
    <sheet name="PC3.03_Ind01" sheetId="123" r:id="rId35"/>
    <sheet name="PC3.03_Ind02" sheetId="183" r:id="rId36"/>
    <sheet name="PC3.03_Ind03" sheetId="220" r:id="rId37"/>
    <sheet name="PC3.03_Ind04" sheetId="221" r:id="rId38"/>
    <sheet name="PC3.03_Ind05" sheetId="223" r:id="rId39"/>
    <sheet name="PC3.04_Ind01" sheetId="132" r:id="rId40"/>
    <sheet name="PC3.04_Ind02 " sheetId="126" r:id="rId41"/>
    <sheet name="PC3.04_Ind03" sheetId="184" r:id="rId42"/>
    <sheet name="PC3.05_Ind01" sheetId="207" r:id="rId43"/>
    <sheet name="PC3.05_Ind02" sheetId="135" r:id="rId44"/>
    <sheet name="PS4.01_Ind01" sheetId="191" r:id="rId45"/>
    <sheet name="PS4.01_Ind02" sheetId="143" r:id="rId46"/>
    <sheet name="PS4.02_Ind01" sheetId="145" r:id="rId47"/>
    <sheet name="PS4.02_Ind02" sheetId="146" r:id="rId48"/>
    <sheet name="PS4.02_Ind03" sheetId="202" r:id="rId49"/>
    <sheet name="PS4.02_Ind04" sheetId="203" r:id="rId50"/>
    <sheet name="PS4.03_Ind01" sheetId="147" r:id="rId51"/>
    <sheet name="PS4.03_Ind02" sheetId="150" r:id="rId52"/>
    <sheet name="PS4.03_Ind03" sheetId="152" r:id="rId53"/>
    <sheet name="PS4.03_Ind04" sheetId="185" r:id="rId54"/>
    <sheet name="PS4.03_Ind05" sheetId="204" r:id="rId55"/>
    <sheet name="PS4.03_Ind06" sheetId="206" r:id="rId56"/>
    <sheet name="PS4.04_Ind01" sheetId="155" r:id="rId57"/>
    <sheet name="PS4.04_Ind02" sheetId="210" r:id="rId58"/>
    <sheet name="PS4.04_Ind03." sheetId="158" r:id="rId59"/>
    <sheet name="PS4.05_Ind01" sheetId="193" r:id="rId60"/>
    <sheet name="PS4.05_Ind02" sheetId="186" r:id="rId61"/>
    <sheet name="PS5.03_Ind01" sheetId="159" r:id="rId62"/>
    <sheet name="PS5.03_Ind02" sheetId="161" r:id="rId63"/>
    <sheet name="PS5.03_Ind03" sheetId="166" r:id="rId64"/>
    <sheet name="PS5.03_Ind04" sheetId="209" r:id="rId65"/>
    <sheet name="PS5.04_Ind01" sheetId="167" r:id="rId66"/>
    <sheet name="PS5.04_Ind02" sheetId="168" r:id="rId67"/>
    <sheet name="PS5.04_Ind03" sheetId="169" r:id="rId68"/>
    <sheet name="PS5.04_Ind04" sheetId="171" r:id="rId69"/>
    <sheet name="PS5.05_Ind01" sheetId="172" r:id="rId70"/>
    <sheet name="PS5.05_Ind02" sheetId="198" r:id="rId71"/>
    <sheet name="PS5.05_Ind03 " sheetId="174" r:id="rId72"/>
    <sheet name="PS5.06_Ind01   " sheetId="177" r:id="rId73"/>
  </sheets>
  <definedNames>
    <definedName name="index">Índex!$B$58:$B$77</definedName>
    <definedName name="indicadors">Índex!$B$7:$B$77</definedName>
    <definedName name="Indivadors2">Índex!$B$7:$B$78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09" l="1"/>
  <c r="E29" i="159"/>
  <c r="D29" i="159"/>
  <c r="H15" i="206"/>
  <c r="H15" i="204"/>
  <c r="D32" i="132"/>
  <c r="D29" i="123"/>
  <c r="G17" i="79"/>
  <c r="H17" i="79"/>
  <c r="I17" i="79"/>
  <c r="J17" i="79"/>
  <c r="F17" i="79"/>
  <c r="H4" i="83"/>
  <c r="G16" i="209"/>
  <c r="H16" i="209"/>
  <c r="D5" i="206"/>
  <c r="C5" i="223"/>
  <c r="C7" i="223"/>
  <c r="G6" i="223"/>
  <c r="G4" i="223"/>
  <c r="C4" i="223"/>
  <c r="C7" i="222"/>
  <c r="G6" i="222"/>
  <c r="C5" i="222"/>
  <c r="G4" i="222"/>
  <c r="C4" i="222"/>
  <c r="H4" i="209"/>
  <c r="I14" i="178"/>
  <c r="H4" i="122"/>
  <c r="D7" i="219"/>
  <c r="H6" i="219"/>
  <c r="H4" i="219"/>
  <c r="D5" i="219"/>
  <c r="I33" i="101"/>
  <c r="H33" i="101"/>
  <c r="I13" i="214"/>
  <c r="I14" i="214" s="1"/>
  <c r="H4" i="214"/>
  <c r="H4" i="161"/>
  <c r="G31" i="159"/>
  <c r="I31" i="191"/>
  <c r="H14" i="135"/>
  <c r="C7" i="221"/>
  <c r="G6" i="221"/>
  <c r="C5" i="221"/>
  <c r="G4" i="221"/>
  <c r="C4" i="221"/>
  <c r="C7" i="220"/>
  <c r="G6" i="220"/>
  <c r="C5" i="220"/>
  <c r="G4" i="220"/>
  <c r="C4" i="220"/>
  <c r="G31" i="123"/>
  <c r="H16" i="197"/>
  <c r="G16" i="197"/>
  <c r="E24" i="97"/>
  <c r="F24" i="97"/>
  <c r="G24" i="97"/>
  <c r="H24" i="97"/>
  <c r="I24" i="97"/>
  <c r="D24" i="97"/>
  <c r="D22" i="97"/>
  <c r="E22" i="97"/>
  <c r="F22" i="97"/>
  <c r="G22" i="97"/>
  <c r="H22" i="97"/>
  <c r="D23" i="97"/>
  <c r="E23" i="97"/>
  <c r="F23" i="97"/>
  <c r="G23" i="97"/>
  <c r="H23" i="97"/>
  <c r="E22" i="195"/>
  <c r="G4" i="195"/>
  <c r="D24" i="195"/>
  <c r="F24" i="195"/>
  <c r="D22" i="195"/>
  <c r="F22" i="195"/>
  <c r="C22" i="195"/>
  <c r="D4" i="219"/>
  <c r="I15" i="219"/>
  <c r="H15" i="219"/>
  <c r="G15" i="219"/>
  <c r="D7" i="218"/>
  <c r="H6" i="218"/>
  <c r="H4" i="218"/>
  <c r="D4" i="218"/>
  <c r="I15" i="218"/>
  <c r="H15" i="218"/>
  <c r="G15" i="218"/>
  <c r="D5" i="218"/>
  <c r="F15" i="79"/>
  <c r="I15" i="79"/>
  <c r="J15" i="79"/>
  <c r="H15" i="79"/>
  <c r="G15" i="79"/>
  <c r="H4" i="79"/>
  <c r="D7" i="79"/>
  <c r="H6" i="79"/>
  <c r="D5" i="79"/>
  <c r="D4" i="79"/>
  <c r="D7" i="217"/>
  <c r="D5" i="217"/>
  <c r="H6" i="217"/>
  <c r="H4" i="217"/>
  <c r="D4" i="217"/>
  <c r="I13" i="217"/>
  <c r="I14" i="217" s="1"/>
  <c r="H13" i="217"/>
  <c r="H14" i="217" s="1"/>
  <c r="G13" i="217"/>
  <c r="G14" i="217" s="1"/>
  <c r="F13" i="217"/>
  <c r="F14" i="217" s="1"/>
  <c r="E13" i="217"/>
  <c r="D13" i="217"/>
  <c r="D13" i="214"/>
  <c r="E13" i="214"/>
  <c r="F13" i="214"/>
  <c r="G13" i="214"/>
  <c r="H13" i="214"/>
  <c r="H14" i="214" s="1"/>
  <c r="D7" i="214"/>
  <c r="H6" i="214"/>
  <c r="D5" i="214"/>
  <c r="D4" i="214"/>
  <c r="C4" i="215"/>
  <c r="C5" i="215"/>
  <c r="C7" i="215"/>
  <c r="G6" i="215"/>
  <c r="G4" i="215"/>
  <c r="H14" i="215"/>
  <c r="E14" i="178"/>
  <c r="F14" i="178"/>
  <c r="G14" i="178"/>
  <c r="D14" i="178"/>
  <c r="D5" i="174"/>
  <c r="I26" i="174" s="1"/>
  <c r="C5" i="194"/>
  <c r="H4" i="2"/>
  <c r="H4" i="84"/>
  <c r="G4" i="194"/>
  <c r="H4" i="178"/>
  <c r="I25" i="177"/>
  <c r="I24" i="177"/>
  <c r="I27" i="177" s="1"/>
  <c r="I27" i="174"/>
  <c r="H14" i="198"/>
  <c r="I35" i="171"/>
  <c r="I34" i="171"/>
  <c r="I37" i="171" s="1"/>
  <c r="I32" i="171"/>
  <c r="I31" i="171"/>
  <c r="I32" i="169"/>
  <c r="I31" i="169"/>
  <c r="I34" i="169" s="1"/>
  <c r="I32" i="168"/>
  <c r="I32" i="167"/>
  <c r="I31" i="167"/>
  <c r="I32" i="166"/>
  <c r="I31" i="166"/>
  <c r="I34" i="166" s="1"/>
  <c r="H25" i="161"/>
  <c r="H24" i="161"/>
  <c r="I24" i="186"/>
  <c r="I26" i="186" s="1"/>
  <c r="I26" i="193"/>
  <c r="I26" i="158"/>
  <c r="G16" i="155"/>
  <c r="I32" i="185"/>
  <c r="I34" i="185" s="1"/>
  <c r="H25" i="152"/>
  <c r="H24" i="152"/>
  <c r="H27" i="152" s="1"/>
  <c r="I33" i="150"/>
  <c r="I32" i="150"/>
  <c r="I35" i="150" s="1"/>
  <c r="F57" i="147"/>
  <c r="F56" i="147"/>
  <c r="I13" i="203"/>
  <c r="H13" i="203"/>
  <c r="I13" i="202"/>
  <c r="H13" i="202"/>
  <c r="H14" i="146"/>
  <c r="I14" i="145"/>
  <c r="I25" i="143"/>
  <c r="I24" i="143"/>
  <c r="I32" i="191"/>
  <c r="G14" i="135"/>
  <c r="I31" i="184"/>
  <c r="I30" i="184"/>
  <c r="H31" i="126"/>
  <c r="H30" i="126"/>
  <c r="I32" i="132"/>
  <c r="I31" i="132"/>
  <c r="I24" i="183"/>
  <c r="I23" i="183"/>
  <c r="I25" i="118"/>
  <c r="I24" i="118"/>
  <c r="I27" i="118" s="1"/>
  <c r="I31" i="106"/>
  <c r="I33" i="106" s="1"/>
  <c r="I34" i="103"/>
  <c r="I25" i="99"/>
  <c r="I24" i="99"/>
  <c r="I27" i="99" s="1"/>
  <c r="F20" i="195"/>
  <c r="I21" i="181"/>
  <c r="I20" i="181"/>
  <c r="I22" i="180"/>
  <c r="I21" i="180"/>
  <c r="I32" i="93"/>
  <c r="I31" i="93"/>
  <c r="I29" i="91"/>
  <c r="I28" i="91"/>
  <c r="G29" i="86"/>
  <c r="G28" i="86"/>
  <c r="G31" i="86" s="1"/>
  <c r="G23" i="85"/>
  <c r="G25" i="84"/>
  <c r="G24" i="84"/>
  <c r="I26" i="83"/>
  <c r="I25" i="83"/>
  <c r="I13" i="2"/>
  <c r="I14" i="2" s="1"/>
  <c r="H6" i="210"/>
  <c r="H4" i="210"/>
  <c r="D7" i="210"/>
  <c r="D5" i="210"/>
  <c r="D4" i="210"/>
  <c r="H14" i="178"/>
  <c r="H6" i="186"/>
  <c r="H4" i="185"/>
  <c r="H4" i="180"/>
  <c r="I38" i="171" l="1"/>
  <c r="I27" i="143"/>
  <c r="I26" i="183"/>
  <c r="I34" i="132"/>
  <c r="I33" i="184"/>
  <c r="H33" i="126"/>
  <c r="I24" i="180"/>
  <c r="I34" i="93"/>
  <c r="I31" i="91"/>
  <c r="I27" i="83"/>
  <c r="I31" i="168"/>
  <c r="I34" i="168" s="1"/>
  <c r="I34" i="167"/>
  <c r="H27" i="161"/>
  <c r="I34" i="191"/>
  <c r="I23" i="181"/>
  <c r="C7" i="198"/>
  <c r="C5" i="198"/>
  <c r="D5" i="167"/>
  <c r="I33" i="167" s="1"/>
  <c r="H6" i="209"/>
  <c r="D7" i="209"/>
  <c r="D5" i="209"/>
  <c r="C15" i="209" s="1"/>
  <c r="D4" i="209"/>
  <c r="D14" i="209"/>
  <c r="H6" i="85"/>
  <c r="H4" i="85"/>
  <c r="D7" i="85"/>
  <c r="D5" i="85"/>
  <c r="D4" i="85"/>
  <c r="H6" i="84"/>
  <c r="D7" i="135"/>
  <c r="D7" i="207"/>
  <c r="H6" i="207"/>
  <c r="D5" i="207"/>
  <c r="H4" i="207"/>
  <c r="D4" i="207"/>
  <c r="D4" i="135"/>
  <c r="D27" i="161"/>
  <c r="E27" i="161"/>
  <c r="F27" i="161"/>
  <c r="G27" i="161"/>
  <c r="C27" i="161"/>
  <c r="D25" i="161"/>
  <c r="E25" i="161"/>
  <c r="F25" i="161"/>
  <c r="G25" i="161"/>
  <c r="D24" i="161"/>
  <c r="E24" i="161"/>
  <c r="F24" i="161"/>
  <c r="G24" i="161"/>
  <c r="C25" i="161"/>
  <c r="C24" i="161"/>
  <c r="H24" i="158"/>
  <c r="H23" i="158"/>
  <c r="H26" i="158" s="1"/>
  <c r="C16" i="155"/>
  <c r="D16" i="155"/>
  <c r="E16" i="155"/>
  <c r="F16" i="155"/>
  <c r="D7" i="206"/>
  <c r="H6" i="206"/>
  <c r="H4" i="206"/>
  <c r="D4" i="206"/>
  <c r="H6" i="204"/>
  <c r="D7" i="204"/>
  <c r="D5" i="204"/>
  <c r="C14" i="204" s="1"/>
  <c r="H4" i="204"/>
  <c r="D4" i="204"/>
  <c r="H34" i="185"/>
  <c r="H32" i="185"/>
  <c r="H31" i="185"/>
  <c r="E25" i="152"/>
  <c r="F25" i="152"/>
  <c r="G25" i="152"/>
  <c r="E24" i="152"/>
  <c r="F24" i="152"/>
  <c r="G24" i="152"/>
  <c r="D24" i="152"/>
  <c r="D25" i="152"/>
  <c r="D32" i="150"/>
  <c r="E32" i="150"/>
  <c r="F32" i="150"/>
  <c r="H32" i="150"/>
  <c r="G32" i="150"/>
  <c r="E57" i="147"/>
  <c r="E56" i="147"/>
  <c r="D57" i="147"/>
  <c r="D56" i="147"/>
  <c r="E13" i="203"/>
  <c r="F13" i="203"/>
  <c r="G13" i="203"/>
  <c r="D13" i="203"/>
  <c r="D7" i="203"/>
  <c r="H6" i="203"/>
  <c r="H4" i="203"/>
  <c r="D5" i="203"/>
  <c r="D4" i="203"/>
  <c r="E13" i="202"/>
  <c r="F13" i="202"/>
  <c r="G13" i="202"/>
  <c r="D13" i="202"/>
  <c r="D7" i="202"/>
  <c r="H6" i="202"/>
  <c r="H4" i="202"/>
  <c r="D5" i="202"/>
  <c r="D4" i="202"/>
  <c r="E14" i="146"/>
  <c r="F14" i="146"/>
  <c r="G14" i="146"/>
  <c r="D14" i="146"/>
  <c r="D7" i="146"/>
  <c r="H6" i="146"/>
  <c r="H4" i="146"/>
  <c r="D5" i="146"/>
  <c r="D4" i="146"/>
  <c r="H14" i="145"/>
  <c r="H27" i="143"/>
  <c r="H25" i="143"/>
  <c r="H24" i="143"/>
  <c r="H31" i="191"/>
  <c r="H13" i="2"/>
  <c r="H14" i="2" s="1"/>
  <c r="H27" i="177"/>
  <c r="H25" i="177"/>
  <c r="H24" i="177"/>
  <c r="H31" i="171" l="1"/>
  <c r="H38" i="171" s="1"/>
  <c r="H35" i="171"/>
  <c r="H34" i="171"/>
  <c r="H37" i="171" s="1"/>
  <c r="H32" i="171"/>
  <c r="H34" i="169"/>
  <c r="H32" i="169"/>
  <c r="H31" i="169"/>
  <c r="H32" i="166"/>
  <c r="H31" i="166"/>
  <c r="H34" i="166" s="1"/>
  <c r="D5" i="159"/>
  <c r="D7" i="159"/>
  <c r="G6" i="159"/>
  <c r="G4" i="159"/>
  <c r="D4" i="159"/>
  <c r="F14" i="135"/>
  <c r="E14" i="135"/>
  <c r="H6" i="135"/>
  <c r="H4" i="135"/>
  <c r="D5" i="135"/>
  <c r="H27" i="122"/>
  <c r="H27" i="174"/>
  <c r="H25" i="174"/>
  <c r="H24" i="174"/>
  <c r="G4" i="198"/>
  <c r="C4" i="198"/>
  <c r="D14" i="198"/>
  <c r="E14" i="198"/>
  <c r="F14" i="198"/>
  <c r="G14" i="198"/>
  <c r="C14" i="198"/>
  <c r="G6" i="198"/>
  <c r="H26" i="186"/>
  <c r="H24" i="186"/>
  <c r="H23" i="186"/>
  <c r="H26" i="193"/>
  <c r="H34" i="103"/>
  <c r="D31" i="101"/>
  <c r="E31" i="101"/>
  <c r="F31" i="101"/>
  <c r="G31" i="101"/>
  <c r="H31" i="101"/>
  <c r="H30" i="101"/>
  <c r="H27" i="99"/>
  <c r="H25" i="99"/>
  <c r="H24" i="99"/>
  <c r="H4" i="97"/>
  <c r="E25" i="84"/>
  <c r="F25" i="84"/>
  <c r="E24" i="84"/>
  <c r="F24" i="84"/>
  <c r="D24" i="84"/>
  <c r="D25" i="84"/>
  <c r="C32" i="184"/>
  <c r="G30" i="126"/>
  <c r="D31" i="126"/>
  <c r="E31" i="126"/>
  <c r="F31" i="126"/>
  <c r="G31" i="126"/>
  <c r="D12" i="126"/>
  <c r="F12" i="126"/>
  <c r="D14" i="126"/>
  <c r="D15" i="126"/>
  <c r="F15" i="126"/>
  <c r="F16" i="126"/>
  <c r="F17" i="126"/>
  <c r="D18" i="126"/>
  <c r="F18" i="126"/>
  <c r="D19" i="126"/>
  <c r="F19" i="126"/>
  <c r="D20" i="126"/>
  <c r="F20" i="126"/>
  <c r="D21" i="126"/>
  <c r="F21" i="126"/>
  <c r="D22" i="126"/>
  <c r="F22" i="126"/>
  <c r="E30" i="126"/>
  <c r="H6" i="197"/>
  <c r="D7" i="197"/>
  <c r="D5" i="197"/>
  <c r="H15" i="197" s="1"/>
  <c r="H4" i="197"/>
  <c r="D4" i="197"/>
  <c r="D23" i="190"/>
  <c r="E23" i="190"/>
  <c r="F23" i="190"/>
  <c r="G23" i="190"/>
  <c r="C23" i="190"/>
  <c r="D7" i="190"/>
  <c r="H6" i="190"/>
  <c r="H4" i="190"/>
  <c r="D4" i="190"/>
  <c r="D5" i="190"/>
  <c r="E25" i="114"/>
  <c r="E24" i="114"/>
  <c r="E28" i="114" s="1"/>
  <c r="D25" i="114"/>
  <c r="D24" i="114"/>
  <c r="F27" i="110"/>
  <c r="E27" i="110"/>
  <c r="D27" i="110"/>
  <c r="C27" i="110"/>
  <c r="H4" i="110"/>
  <c r="H6" i="110"/>
  <c r="D7" i="110"/>
  <c r="D5" i="110"/>
  <c r="D4" i="110"/>
  <c r="E20" i="195"/>
  <c r="D20" i="195"/>
  <c r="C20" i="195"/>
  <c r="B20" i="195"/>
  <c r="C7" i="195"/>
  <c r="G6" i="195"/>
  <c r="C5" i="195"/>
  <c r="C4" i="195"/>
  <c r="C7" i="194"/>
  <c r="C4" i="194"/>
  <c r="G6" i="194"/>
  <c r="H26" i="183"/>
  <c r="H23" i="183"/>
  <c r="H24" i="183"/>
  <c r="D5" i="123"/>
  <c r="G30" i="123" s="1"/>
  <c r="F29" i="123"/>
  <c r="E29" i="123"/>
  <c r="D31" i="123"/>
  <c r="H34" i="168"/>
  <c r="H32" i="168"/>
  <c r="H31" i="168"/>
  <c r="H30" i="168"/>
  <c r="H28" i="168"/>
  <c r="H27" i="168"/>
  <c r="H26" i="168"/>
  <c r="H25" i="168"/>
  <c r="H24" i="168"/>
  <c r="H23" i="168"/>
  <c r="H22" i="168"/>
  <c r="H21" i="168"/>
  <c r="H20" i="168"/>
  <c r="H19" i="168"/>
  <c r="H18" i="168"/>
  <c r="H17" i="168"/>
  <c r="H16" i="168"/>
  <c r="H15" i="168"/>
  <c r="H13" i="168"/>
  <c r="H32" i="167"/>
  <c r="H31" i="167"/>
  <c r="H34" i="167" s="1"/>
  <c r="H33" i="150"/>
  <c r="H35" i="150" s="1"/>
  <c r="H32" i="191"/>
  <c r="H34" i="191" s="1"/>
  <c r="H24" i="180"/>
  <c r="H31" i="184"/>
  <c r="H30" i="184"/>
  <c r="H33" i="184" s="1"/>
  <c r="H32" i="132"/>
  <c r="H31" i="132"/>
  <c r="H34" i="132" s="1"/>
  <c r="H25" i="118"/>
  <c r="H24" i="118"/>
  <c r="H27" i="118" s="1"/>
  <c r="H31" i="106"/>
  <c r="F31" i="123" l="1"/>
  <c r="E31" i="123"/>
  <c r="G33" i="126"/>
  <c r="F30" i="126"/>
  <c r="F33" i="126" s="1"/>
  <c r="D30" i="126"/>
  <c r="E33" i="126"/>
  <c r="D15" i="197"/>
  <c r="E15" i="197"/>
  <c r="F15" i="197"/>
  <c r="G15" i="197"/>
  <c r="D28" i="114"/>
  <c r="H21" i="181"/>
  <c r="H20" i="181"/>
  <c r="H22" i="180"/>
  <c r="H21" i="180"/>
  <c r="H32" i="93"/>
  <c r="H31" i="93"/>
  <c r="H34" i="93" s="1"/>
  <c r="G31" i="91"/>
  <c r="H29" i="91"/>
  <c r="G29" i="91"/>
  <c r="H28" i="91"/>
  <c r="H31" i="91" s="1"/>
  <c r="G28" i="91"/>
  <c r="F20" i="85"/>
  <c r="F23" i="85" s="1"/>
  <c r="H27" i="83"/>
  <c r="H26" i="83"/>
  <c r="G26" i="83"/>
  <c r="H25" i="83"/>
  <c r="G25" i="83"/>
  <c r="G27" i="83"/>
  <c r="D7" i="158"/>
  <c r="H6" i="158"/>
  <c r="D5" i="158"/>
  <c r="C25" i="158" s="1"/>
  <c r="H4" i="158"/>
  <c r="H6" i="180"/>
  <c r="D7" i="180"/>
  <c r="D5" i="180"/>
  <c r="D4" i="180"/>
  <c r="D5" i="106"/>
  <c r="I32" i="106" s="1"/>
  <c r="D4" i="2"/>
  <c r="D5" i="161"/>
  <c r="H26" i="161" s="1"/>
  <c r="D7" i="161"/>
  <c r="H6" i="161"/>
  <c r="D4" i="161"/>
  <c r="D5" i="193"/>
  <c r="C25" i="193" s="1"/>
  <c r="H6" i="193"/>
  <c r="D7" i="193"/>
  <c r="H4" i="193"/>
  <c r="D4" i="193"/>
  <c r="G24" i="193"/>
  <c r="F24" i="193"/>
  <c r="E24" i="193"/>
  <c r="D24" i="193"/>
  <c r="G23" i="193"/>
  <c r="G26" i="193" s="1"/>
  <c r="F23" i="193"/>
  <c r="F26" i="193" s="1"/>
  <c r="E23" i="193"/>
  <c r="D23" i="193"/>
  <c r="D26" i="193" s="1"/>
  <c r="D5" i="186"/>
  <c r="C25" i="186" s="1"/>
  <c r="D7" i="186"/>
  <c r="H4" i="186"/>
  <c r="D4" i="186"/>
  <c r="D4" i="158"/>
  <c r="D5" i="155"/>
  <c r="D7" i="155"/>
  <c r="H6" i="155"/>
  <c r="H4" i="155"/>
  <c r="D4" i="155"/>
  <c r="D4" i="184"/>
  <c r="D4" i="126"/>
  <c r="D4" i="132"/>
  <c r="D4" i="183"/>
  <c r="D4" i="123"/>
  <c r="D4" i="122"/>
  <c r="D4" i="118"/>
  <c r="D4" i="114"/>
  <c r="D4" i="188"/>
  <c r="D4" i="109"/>
  <c r="D4" i="106"/>
  <c r="D4" i="103"/>
  <c r="D4" i="101"/>
  <c r="D4" i="99"/>
  <c r="D4" i="97"/>
  <c r="D4" i="95"/>
  <c r="D5" i="181"/>
  <c r="B20" i="181" s="1"/>
  <c r="D4" i="181"/>
  <c r="D4" i="93"/>
  <c r="D4" i="91"/>
  <c r="D4" i="86"/>
  <c r="D4" i="84"/>
  <c r="D4" i="83"/>
  <c r="D4" i="178"/>
  <c r="D7" i="177"/>
  <c r="D5" i="177"/>
  <c r="G26" i="177" s="1"/>
  <c r="H6" i="177"/>
  <c r="H4" i="177"/>
  <c r="D4" i="177"/>
  <c r="D7" i="174"/>
  <c r="H6" i="174"/>
  <c r="H4" i="174"/>
  <c r="D4" i="174"/>
  <c r="D5" i="172"/>
  <c r="D7" i="172"/>
  <c r="H6" i="172"/>
  <c r="H4" i="172"/>
  <c r="D4" i="172"/>
  <c r="E34" i="171"/>
  <c r="F34" i="171"/>
  <c r="G34" i="171"/>
  <c r="D34" i="171"/>
  <c r="E31" i="171"/>
  <c r="F31" i="171"/>
  <c r="G31" i="171"/>
  <c r="D31" i="171"/>
  <c r="D7" i="171"/>
  <c r="H6" i="171"/>
  <c r="D5" i="171"/>
  <c r="H4" i="171"/>
  <c r="D4" i="171"/>
  <c r="D7" i="169"/>
  <c r="H6" i="169"/>
  <c r="D5" i="169"/>
  <c r="I33" i="169" s="1"/>
  <c r="H4" i="169"/>
  <c r="D4" i="169"/>
  <c r="D7" i="168"/>
  <c r="D5" i="168"/>
  <c r="I33" i="168" s="1"/>
  <c r="H6" i="168"/>
  <c r="H4" i="168"/>
  <c r="D4" i="168"/>
  <c r="H6" i="167"/>
  <c r="D7" i="167"/>
  <c r="H4" i="167"/>
  <c r="D4" i="167"/>
  <c r="E31" i="166"/>
  <c r="F31" i="166"/>
  <c r="G31" i="166"/>
  <c r="D31" i="166"/>
  <c r="D5" i="166"/>
  <c r="I33" i="166" s="1"/>
  <c r="D7" i="166"/>
  <c r="H6" i="166"/>
  <c r="H4" i="166"/>
  <c r="D4" i="166"/>
  <c r="E28" i="159"/>
  <c r="D28" i="159"/>
  <c r="D5" i="185"/>
  <c r="C33" i="185" s="1"/>
  <c r="D4" i="185"/>
  <c r="D5" i="152"/>
  <c r="C26" i="152" s="1"/>
  <c r="D4" i="152"/>
  <c r="D5" i="150"/>
  <c r="C34" i="150" s="1"/>
  <c r="D4" i="150"/>
  <c r="D5" i="147"/>
  <c r="D4" i="147"/>
  <c r="D5" i="145"/>
  <c r="D4" i="145"/>
  <c r="D5" i="143"/>
  <c r="C26" i="143" s="1"/>
  <c r="D4" i="143"/>
  <c r="D5" i="191"/>
  <c r="B31" i="191" s="1"/>
  <c r="D4" i="191"/>
  <c r="H6" i="185"/>
  <c r="D7" i="185"/>
  <c r="F30" i="184"/>
  <c r="D5" i="184"/>
  <c r="D5" i="126"/>
  <c r="C32" i="126" s="1"/>
  <c r="E31" i="132"/>
  <c r="F31" i="132"/>
  <c r="G31" i="132"/>
  <c r="D31" i="132"/>
  <c r="D5" i="132"/>
  <c r="E23" i="183"/>
  <c r="F23" i="183"/>
  <c r="G23" i="183"/>
  <c r="D23" i="183"/>
  <c r="D5" i="183"/>
  <c r="B23" i="183" s="1"/>
  <c r="D7" i="183"/>
  <c r="H6" i="183"/>
  <c r="H4" i="183"/>
  <c r="E24" i="122"/>
  <c r="F24" i="122"/>
  <c r="G24" i="122"/>
  <c r="D24" i="122"/>
  <c r="D5" i="122"/>
  <c r="C26" i="122" s="1"/>
  <c r="E24" i="118"/>
  <c r="F24" i="118"/>
  <c r="G24" i="118"/>
  <c r="D24" i="118"/>
  <c r="D5" i="118"/>
  <c r="I26" i="118" s="1"/>
  <c r="D5" i="114"/>
  <c r="D5" i="188"/>
  <c r="D5" i="109"/>
  <c r="E30" i="106"/>
  <c r="F30" i="106"/>
  <c r="G30" i="106"/>
  <c r="D30" i="106"/>
  <c r="H6" i="2"/>
  <c r="F31" i="103"/>
  <c r="G31" i="103"/>
  <c r="D31" i="103"/>
  <c r="D5" i="103"/>
  <c r="E30" i="101"/>
  <c r="E33" i="101" s="1"/>
  <c r="F30" i="101"/>
  <c r="F33" i="101" s="1"/>
  <c r="G30" i="101"/>
  <c r="G33" i="101" s="1"/>
  <c r="D30" i="101"/>
  <c r="D33" i="101" s="1"/>
  <c r="D5" i="101"/>
  <c r="B30" i="101" s="1"/>
  <c r="C32" i="101" s="1"/>
  <c r="E24" i="99"/>
  <c r="F24" i="99"/>
  <c r="G24" i="99"/>
  <c r="D24" i="99"/>
  <c r="D25" i="99"/>
  <c r="D5" i="99"/>
  <c r="B24" i="99" s="1"/>
  <c r="C26" i="99" s="1"/>
  <c r="D5" i="97"/>
  <c r="E14" i="95"/>
  <c r="F14" i="95"/>
  <c r="G14" i="95"/>
  <c r="D14" i="95"/>
  <c r="D5" i="95"/>
  <c r="B14" i="95" s="1"/>
  <c r="E20" i="181"/>
  <c r="E21" i="180"/>
  <c r="F21" i="180"/>
  <c r="G21" i="180"/>
  <c r="D21" i="180"/>
  <c r="G32" i="93"/>
  <c r="E31" i="93"/>
  <c r="F31" i="93"/>
  <c r="G31" i="93"/>
  <c r="D31" i="93"/>
  <c r="D5" i="93"/>
  <c r="E28" i="91"/>
  <c r="F28" i="91"/>
  <c r="D28" i="91"/>
  <c r="D29" i="91"/>
  <c r="E29" i="91"/>
  <c r="D5" i="91"/>
  <c r="E28" i="86"/>
  <c r="F28" i="86"/>
  <c r="D28" i="86"/>
  <c r="F29" i="86"/>
  <c r="E29" i="86"/>
  <c r="D29" i="86"/>
  <c r="E25" i="83"/>
  <c r="E27" i="83" s="1"/>
  <c r="F25" i="83"/>
  <c r="F27" i="83" s="1"/>
  <c r="D25" i="83"/>
  <c r="D27" i="83" s="1"/>
  <c r="E26" i="83"/>
  <c r="F26" i="83"/>
  <c r="D26" i="83"/>
  <c r="D5" i="2"/>
  <c r="F6" i="145"/>
  <c r="E30" i="91" l="1"/>
  <c r="I30" i="91"/>
  <c r="H23" i="181"/>
  <c r="C26" i="161"/>
  <c r="G26" i="161"/>
  <c r="F26" i="161"/>
  <c r="E26" i="161"/>
  <c r="D26" i="161"/>
  <c r="E33" i="169"/>
  <c r="H33" i="169"/>
  <c r="D33" i="166"/>
  <c r="H33" i="166"/>
  <c r="E26" i="174"/>
  <c r="H26" i="174"/>
  <c r="D33" i="126"/>
  <c r="E26" i="114"/>
  <c r="D26" i="114"/>
  <c r="F30" i="123"/>
  <c r="E30" i="123"/>
  <c r="D30" i="123"/>
  <c r="B31" i="168"/>
  <c r="F33" i="168"/>
  <c r="G33" i="168"/>
  <c r="H33" i="168"/>
  <c r="E33" i="168"/>
  <c r="G30" i="91"/>
  <c r="E32" i="106"/>
  <c r="H32" i="106"/>
  <c r="H30" i="91"/>
  <c r="B30" i="126"/>
  <c r="F33" i="167"/>
  <c r="H33" i="167"/>
  <c r="B31" i="132"/>
  <c r="G26" i="118"/>
  <c r="H26" i="118"/>
  <c r="G34" i="93"/>
  <c r="E26" i="193"/>
  <c r="B23" i="193"/>
  <c r="D30" i="91"/>
  <c r="B28" i="91" s="1"/>
  <c r="B24" i="143"/>
  <c r="F30" i="91"/>
  <c r="B24" i="152"/>
  <c r="B23" i="186"/>
  <c r="D33" i="168"/>
  <c r="B31" i="169"/>
  <c r="F33" i="169"/>
  <c r="G33" i="166"/>
  <c r="B24" i="174"/>
  <c r="F33" i="166"/>
  <c r="G26" i="174"/>
  <c r="E26" i="177"/>
  <c r="D33" i="169"/>
  <c r="B28" i="159"/>
  <c r="B24" i="114"/>
  <c r="E33" i="167"/>
  <c r="F26" i="177"/>
  <c r="D26" i="118"/>
  <c r="B23" i="158"/>
  <c r="E33" i="166"/>
  <c r="G33" i="169"/>
  <c r="D26" i="174"/>
  <c r="F26" i="118"/>
  <c r="E26" i="118"/>
  <c r="B32" i="150"/>
  <c r="B31" i="167"/>
  <c r="F26" i="174"/>
  <c r="B31" i="185"/>
  <c r="D33" i="167"/>
  <c r="B24" i="177"/>
  <c r="B31" i="166"/>
  <c r="G33" i="167"/>
  <c r="D26" i="177"/>
  <c r="B31" i="103"/>
  <c r="B30" i="106"/>
  <c r="B30" i="184"/>
  <c r="D32" i="106"/>
  <c r="G32" i="106"/>
  <c r="B31" i="93"/>
  <c r="F32" i="106"/>
  <c r="B24" i="118"/>
  <c r="F31" i="86"/>
  <c r="E31" i="86"/>
  <c r="E24" i="177"/>
  <c r="F24" i="177"/>
  <c r="G24" i="177"/>
  <c r="D24" i="177"/>
  <c r="E24" i="174"/>
  <c r="F24" i="174"/>
  <c r="G24" i="174"/>
  <c r="D24" i="174"/>
  <c r="G13" i="172"/>
  <c r="D13" i="172"/>
  <c r="D35" i="171"/>
  <c r="E35" i="171"/>
  <c r="F35" i="171"/>
  <c r="F37" i="171" s="1"/>
  <c r="G35" i="171"/>
  <c r="G37" i="171" s="1"/>
  <c r="E31" i="169"/>
  <c r="F31" i="169"/>
  <c r="G31" i="169"/>
  <c r="D31" i="169"/>
  <c r="F31" i="168"/>
  <c r="D31" i="159"/>
  <c r="E31" i="159"/>
  <c r="F31" i="159"/>
  <c r="E23" i="186"/>
  <c r="F23" i="186"/>
  <c r="G23" i="186"/>
  <c r="D23" i="186"/>
  <c r="E23" i="158"/>
  <c r="F23" i="158"/>
  <c r="G23" i="158"/>
  <c r="D23" i="158"/>
  <c r="E31" i="185"/>
  <c r="F31" i="185"/>
  <c r="G31" i="185"/>
  <c r="D31" i="185"/>
  <c r="F14" i="145"/>
  <c r="G14" i="145"/>
  <c r="E14" i="145"/>
  <c r="D14" i="145"/>
  <c r="D5" i="86"/>
  <c r="D5" i="84"/>
  <c r="D5" i="83"/>
  <c r="D5" i="178"/>
  <c r="E24" i="143"/>
  <c r="F24" i="143"/>
  <c r="G24" i="143"/>
  <c r="D24" i="143"/>
  <c r="E31" i="191"/>
  <c r="F31" i="191"/>
  <c r="G31" i="191"/>
  <c r="D31" i="191"/>
  <c r="D7" i="152"/>
  <c r="H6" i="152"/>
  <c r="H4" i="152"/>
  <c r="D7" i="191"/>
  <c r="H6" i="191"/>
  <c r="H4" i="191"/>
  <c r="D32" i="191"/>
  <c r="E32" i="191"/>
  <c r="F32" i="191"/>
  <c r="G32" i="191"/>
  <c r="D7" i="184"/>
  <c r="H6" i="184"/>
  <c r="H4" i="184"/>
  <c r="D7" i="122"/>
  <c r="H6" i="122"/>
  <c r="D7" i="188"/>
  <c r="H6" i="188"/>
  <c r="H4" i="188"/>
  <c r="D7" i="118"/>
  <c r="H6" i="118"/>
  <c r="H4" i="118"/>
  <c r="G27" i="168"/>
  <c r="G26" i="168"/>
  <c r="G23" i="168"/>
  <c r="G22" i="168"/>
  <c r="G21" i="168"/>
  <c r="G20" i="168"/>
  <c r="G19" i="168"/>
  <c r="G18" i="168"/>
  <c r="G17" i="168"/>
  <c r="G16" i="168"/>
  <c r="G15" i="168"/>
  <c r="G13" i="168"/>
  <c r="E30" i="168"/>
  <c r="E29" i="168"/>
  <c r="E28" i="168"/>
  <c r="E27" i="168"/>
  <c r="E26" i="168"/>
  <c r="E25" i="168"/>
  <c r="E24" i="168"/>
  <c r="E23" i="168"/>
  <c r="E22" i="168"/>
  <c r="E21" i="168"/>
  <c r="E20" i="168"/>
  <c r="E19" i="168"/>
  <c r="E16" i="168"/>
  <c r="E15" i="168"/>
  <c r="E13" i="168"/>
  <c r="D30" i="168"/>
  <c r="D28" i="168"/>
  <c r="D27" i="168"/>
  <c r="D26" i="168"/>
  <c r="D25" i="168"/>
  <c r="D24" i="168"/>
  <c r="D23" i="168"/>
  <c r="D22" i="168"/>
  <c r="D21" i="168"/>
  <c r="D19" i="168"/>
  <c r="D16" i="168"/>
  <c r="D15" i="168"/>
  <c r="D13" i="168"/>
  <c r="D31" i="168" s="1"/>
  <c r="G27" i="167"/>
  <c r="G26" i="167"/>
  <c r="G25" i="167"/>
  <c r="G24" i="167"/>
  <c r="G23" i="167"/>
  <c r="G22" i="167"/>
  <c r="G21" i="167"/>
  <c r="G20" i="167"/>
  <c r="G19" i="167"/>
  <c r="G18" i="167"/>
  <c r="G17" i="167"/>
  <c r="G16" i="167"/>
  <c r="G15" i="167"/>
  <c r="G14" i="167"/>
  <c r="G13" i="167"/>
  <c r="F23" i="167"/>
  <c r="F22" i="167"/>
  <c r="F21" i="167"/>
  <c r="F19" i="167"/>
  <c r="F18" i="167"/>
  <c r="F17" i="167"/>
  <c r="F16" i="167"/>
  <c r="F15" i="167"/>
  <c r="F13" i="167"/>
  <c r="E29" i="167"/>
  <c r="E28" i="167"/>
  <c r="E27" i="167"/>
  <c r="E26" i="167"/>
  <c r="E25" i="167"/>
  <c r="E24" i="167"/>
  <c r="E23" i="167"/>
  <c r="E22" i="167"/>
  <c r="E21" i="167"/>
  <c r="E19" i="167"/>
  <c r="E18" i="167"/>
  <c r="E17" i="167"/>
  <c r="E16" i="167"/>
  <c r="E15" i="167"/>
  <c r="E13" i="167"/>
  <c r="D28" i="167"/>
  <c r="D27" i="167"/>
  <c r="D26" i="167"/>
  <c r="D25" i="167"/>
  <c r="D24" i="167"/>
  <c r="D23" i="167"/>
  <c r="D22" i="167"/>
  <c r="D21" i="167"/>
  <c r="D20" i="167"/>
  <c r="D19" i="167"/>
  <c r="D18" i="167"/>
  <c r="D17" i="167"/>
  <c r="D16" i="167"/>
  <c r="D15" i="167"/>
  <c r="D13" i="167"/>
  <c r="D24" i="186"/>
  <c r="E24" i="186"/>
  <c r="F24" i="186"/>
  <c r="G24" i="186"/>
  <c r="D32" i="185"/>
  <c r="G32" i="185"/>
  <c r="E32" i="185"/>
  <c r="F32" i="185"/>
  <c r="D7" i="101"/>
  <c r="H6" i="101"/>
  <c r="H4" i="101"/>
  <c r="G29" i="184"/>
  <c r="G24" i="184"/>
  <c r="E26" i="184"/>
  <c r="E24" i="184"/>
  <c r="E23" i="184"/>
  <c r="E22" i="184"/>
  <c r="E28" i="184"/>
  <c r="D29" i="184"/>
  <c r="D28" i="184"/>
  <c r="D24" i="184"/>
  <c r="D22" i="184"/>
  <c r="G21" i="184"/>
  <c r="G20" i="184"/>
  <c r="G19" i="184"/>
  <c r="G18" i="184"/>
  <c r="G17" i="184"/>
  <c r="G16" i="184"/>
  <c r="G15" i="184"/>
  <c r="G12" i="184"/>
  <c r="E21" i="184"/>
  <c r="E20" i="184"/>
  <c r="E19" i="184"/>
  <c r="E18" i="184"/>
  <c r="E15" i="184"/>
  <c r="E14" i="184"/>
  <c r="E12" i="184"/>
  <c r="D21" i="184"/>
  <c r="D20" i="184"/>
  <c r="D18" i="184"/>
  <c r="D15" i="184"/>
  <c r="D14" i="184"/>
  <c r="D12" i="184"/>
  <c r="F31" i="184"/>
  <c r="D7" i="126"/>
  <c r="H6" i="126"/>
  <c r="H4" i="126"/>
  <c r="F24" i="183"/>
  <c r="E25" i="99"/>
  <c r="F25" i="99"/>
  <c r="G25" i="99"/>
  <c r="D27" i="99"/>
  <c r="D7" i="91"/>
  <c r="H6" i="91"/>
  <c r="H4" i="91"/>
  <c r="D7" i="181"/>
  <c r="H6" i="181"/>
  <c r="H4" i="181"/>
  <c r="G15" i="181"/>
  <c r="F15" i="181"/>
  <c r="F20" i="181" s="1"/>
  <c r="D14" i="181"/>
  <c r="D13" i="181"/>
  <c r="D20" i="181" s="1"/>
  <c r="B21" i="180"/>
  <c r="F20" i="180"/>
  <c r="F19" i="180"/>
  <c r="F18" i="180"/>
  <c r="F17" i="180"/>
  <c r="F16" i="180"/>
  <c r="F15" i="180"/>
  <c r="F13" i="180"/>
  <c r="E21" i="181"/>
  <c r="D19" i="180"/>
  <c r="D20" i="180"/>
  <c r="D18" i="180"/>
  <c r="D15" i="180"/>
  <c r="D16" i="180"/>
  <c r="D14" i="180"/>
  <c r="D13" i="180"/>
  <c r="E22" i="180"/>
  <c r="G22" i="180"/>
  <c r="D7" i="2"/>
  <c r="E13" i="2"/>
  <c r="F13" i="2"/>
  <c r="G13" i="2"/>
  <c r="G14" i="2" s="1"/>
  <c r="D13" i="2"/>
  <c r="D7" i="178"/>
  <c r="H6" i="178"/>
  <c r="G25" i="177"/>
  <c r="F25" i="177"/>
  <c r="E25" i="177"/>
  <c r="D25" i="177"/>
  <c r="G25" i="174"/>
  <c r="F25" i="174"/>
  <c r="E25" i="174"/>
  <c r="D25" i="174"/>
  <c r="F32" i="171"/>
  <c r="G32" i="171"/>
  <c r="D32" i="171"/>
  <c r="E32" i="171"/>
  <c r="D32" i="169"/>
  <c r="G32" i="169"/>
  <c r="F32" i="169"/>
  <c r="E32" i="169"/>
  <c r="F32" i="168"/>
  <c r="D32" i="166"/>
  <c r="F32" i="166"/>
  <c r="D7" i="86"/>
  <c r="G6" i="86"/>
  <c r="G4" i="86"/>
  <c r="G24" i="158"/>
  <c r="F24" i="158"/>
  <c r="E24" i="158"/>
  <c r="D24" i="158"/>
  <c r="D7" i="150"/>
  <c r="H6" i="150"/>
  <c r="H4" i="150"/>
  <c r="G33" i="150"/>
  <c r="F33" i="150"/>
  <c r="E33" i="150"/>
  <c r="D33" i="150"/>
  <c r="D35" i="150" s="1"/>
  <c r="D7" i="147"/>
  <c r="H6" i="147"/>
  <c r="H4" i="147"/>
  <c r="D7" i="145"/>
  <c r="F4" i="145"/>
  <c r="D7" i="143"/>
  <c r="H6" i="143"/>
  <c r="H4" i="143"/>
  <c r="G25" i="143"/>
  <c r="F25" i="143"/>
  <c r="E25" i="143"/>
  <c r="D25" i="143"/>
  <c r="D21" i="181" l="1"/>
  <c r="D23" i="181" s="1"/>
  <c r="G21" i="181"/>
  <c r="G20" i="181"/>
  <c r="G30" i="184"/>
  <c r="E30" i="184"/>
  <c r="D30" i="184"/>
  <c r="D26" i="158"/>
  <c r="E26" i="158"/>
  <c r="F26" i="158"/>
  <c r="G26" i="158"/>
  <c r="G27" i="177"/>
  <c r="D27" i="177"/>
  <c r="F27" i="177"/>
  <c r="E27" i="177"/>
  <c r="G27" i="174"/>
  <c r="F27" i="174"/>
  <c r="G31" i="168"/>
  <c r="F34" i="168"/>
  <c r="E31" i="168"/>
  <c r="E34" i="168" s="1"/>
  <c r="E32" i="168"/>
  <c r="G31" i="167"/>
  <c r="E31" i="167"/>
  <c r="F31" i="167"/>
  <c r="D31" i="167"/>
  <c r="F32" i="167"/>
  <c r="G26" i="186"/>
  <c r="F26" i="186"/>
  <c r="D34" i="191"/>
  <c r="G34" i="191"/>
  <c r="F34" i="191"/>
  <c r="E34" i="191"/>
  <c r="E23" i="181"/>
  <c r="F21" i="181"/>
  <c r="F23" i="181" s="1"/>
  <c r="F22" i="180"/>
  <c r="F24" i="180" s="1"/>
  <c r="D38" i="171"/>
  <c r="G32" i="168"/>
  <c r="D32" i="168"/>
  <c r="G32" i="167"/>
  <c r="G34" i="167"/>
  <c r="E32" i="167"/>
  <c r="D32" i="167"/>
  <c r="E26" i="186"/>
  <c r="D26" i="186"/>
  <c r="F34" i="185"/>
  <c r="E34" i="185"/>
  <c r="G34" i="185"/>
  <c r="D34" i="185"/>
  <c r="F33" i="184"/>
  <c r="E31" i="184"/>
  <c r="G31" i="184"/>
  <c r="D31" i="184"/>
  <c r="D24" i="183"/>
  <c r="D26" i="183" s="1"/>
  <c r="F26" i="183"/>
  <c r="G24" i="183"/>
  <c r="E24" i="183"/>
  <c r="D22" i="180"/>
  <c r="G24" i="180"/>
  <c r="E24" i="180"/>
  <c r="D27" i="174"/>
  <c r="E27" i="174"/>
  <c r="E38" i="171"/>
  <c r="G38" i="171"/>
  <c r="F38" i="171"/>
  <c r="D34" i="169"/>
  <c r="E34" i="169"/>
  <c r="F34" i="169"/>
  <c r="G34" i="169"/>
  <c r="F34" i="166"/>
  <c r="G32" i="166"/>
  <c r="G34" i="166" s="1"/>
  <c r="D34" i="166"/>
  <c r="E32" i="166"/>
  <c r="E34" i="166" s="1"/>
  <c r="D27" i="152"/>
  <c r="E27" i="152"/>
  <c r="F27" i="152"/>
  <c r="G27" i="152"/>
  <c r="E35" i="150"/>
  <c r="G35" i="150"/>
  <c r="F35" i="150"/>
  <c r="E27" i="143"/>
  <c r="F27" i="143"/>
  <c r="D27" i="143"/>
  <c r="G27" i="143"/>
  <c r="D7" i="132"/>
  <c r="H6" i="132"/>
  <c r="H4" i="132"/>
  <c r="G32" i="132"/>
  <c r="F32" i="132"/>
  <c r="E32" i="132"/>
  <c r="D7" i="123"/>
  <c r="H6" i="123"/>
  <c r="H4" i="123"/>
  <c r="G25" i="122"/>
  <c r="G27" i="122" s="1"/>
  <c r="F25" i="122"/>
  <c r="F27" i="122" s="1"/>
  <c r="E25" i="122"/>
  <c r="D25" i="122"/>
  <c r="D27" i="122" s="1"/>
  <c r="G27" i="118"/>
  <c r="G25" i="118"/>
  <c r="F25" i="118"/>
  <c r="E25" i="118"/>
  <c r="D25" i="118"/>
  <c r="D7" i="114"/>
  <c r="H6" i="114"/>
  <c r="H4" i="114"/>
  <c r="D7" i="109"/>
  <c r="H6" i="109"/>
  <c r="H4" i="109"/>
  <c r="H6" i="106"/>
  <c r="D7" i="106"/>
  <c r="H4" i="106"/>
  <c r="G31" i="106"/>
  <c r="F31" i="106"/>
  <c r="F33" i="106" s="1"/>
  <c r="E31" i="106"/>
  <c r="D31" i="106"/>
  <c r="D33" i="106" s="1"/>
  <c r="D7" i="103"/>
  <c r="H6" i="103"/>
  <c r="H4" i="103"/>
  <c r="G32" i="103"/>
  <c r="F32" i="103"/>
  <c r="D32" i="103"/>
  <c r="E17" i="95"/>
  <c r="F17" i="95"/>
  <c r="D7" i="99"/>
  <c r="H6" i="99"/>
  <c r="H4" i="99"/>
  <c r="D7" i="97"/>
  <c r="H6" i="97"/>
  <c r="G15" i="95"/>
  <c r="D7" i="95"/>
  <c r="H6" i="95"/>
  <c r="H4" i="95"/>
  <c r="D17" i="95"/>
  <c r="F15" i="95"/>
  <c r="E15" i="95"/>
  <c r="D15" i="95"/>
  <c r="D7" i="93"/>
  <c r="H6" i="93"/>
  <c r="H4" i="93"/>
  <c r="E32" i="93"/>
  <c r="E34" i="93" s="1"/>
  <c r="F32" i="93"/>
  <c r="F34" i="93" s="1"/>
  <c r="D32" i="93"/>
  <c r="D34" i="93" s="1"/>
  <c r="F29" i="91"/>
  <c r="D7" i="84"/>
  <c r="E21" i="85"/>
  <c r="E20" i="85"/>
  <c r="D20" i="85"/>
  <c r="D21" i="85"/>
  <c r="D7" i="83"/>
  <c r="H6" i="83"/>
  <c r="F14" i="2"/>
  <c r="E14" i="2"/>
  <c r="D14" i="2"/>
  <c r="D23" i="85" l="1"/>
  <c r="G23" i="181"/>
  <c r="G34" i="168"/>
  <c r="F34" i="167"/>
  <c r="E27" i="122"/>
  <c r="F27" i="118"/>
  <c r="E27" i="118"/>
  <c r="D34" i="168"/>
  <c r="E34" i="167"/>
  <c r="D34" i="167"/>
  <c r="D33" i="184"/>
  <c r="E33" i="184"/>
  <c r="G33" i="184"/>
  <c r="G26" i="183"/>
  <c r="E26" i="183"/>
  <c r="G27" i="99"/>
  <c r="D24" i="180"/>
  <c r="D34" i="132"/>
  <c r="G34" i="132"/>
  <c r="E34" i="132"/>
  <c r="F34" i="132"/>
  <c r="D27" i="118"/>
  <c r="E33" i="106"/>
  <c r="G33" i="106"/>
  <c r="G34" i="103"/>
  <c r="D34" i="103"/>
  <c r="F34" i="103"/>
  <c r="E27" i="99"/>
  <c r="F27" i="99"/>
  <c r="G17" i="95"/>
  <c r="D31" i="91"/>
  <c r="F31" i="91"/>
  <c r="E31" i="91"/>
  <c r="E23" i="85"/>
  <c r="D31" i="86"/>
  <c r="E31" i="103"/>
  <c r="E34" i="103" s="1"/>
  <c r="E32" i="103"/>
  <c r="A59" i="1"/>
  <c r="A59" i="1" a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 Bertobillo Cunill</author>
  </authors>
  <commentList>
    <comment ref="B15" authorId="0" shapeId="0" xr:uid="{F3034BEE-B016-4D76-AC43-63AC74C09B6C}">
      <text>
        <r>
          <rPr>
            <b/>
            <sz val="9"/>
            <color indexed="81"/>
            <rFont val="Tahoma"/>
            <charset val="1"/>
          </rPr>
          <t>Sara Bertobillo Cunill:</t>
        </r>
        <r>
          <rPr>
            <sz val="9"/>
            <color indexed="81"/>
            <rFont val="Tahoma"/>
            <charset val="1"/>
          </rPr>
          <t xml:space="preserve">
Perquè està dues vegades estadística i amb dades diferents?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<sst xmlns="http://schemas.openxmlformats.org/spreadsheetml/2006/main" count="3914" uniqueCount="634">
  <si>
    <t>Catàleg d'Indicadors del SGIQ de la Facultat de Ciències (UAB)</t>
  </si>
  <si>
    <t>Codi SGIQ</t>
  </si>
  <si>
    <t>Nom</t>
  </si>
  <si>
    <t>Propietari del Procés</t>
  </si>
  <si>
    <t>Responsable de la gestió</t>
  </si>
  <si>
    <t>Objectiu</t>
  </si>
  <si>
    <t>Processos vinculats</t>
  </si>
  <si>
    <t>Objectiu de Qualitat/Pla Estratègic</t>
  </si>
  <si>
    <t>PE1.01_Ind01.</t>
  </si>
  <si>
    <t>Percentatge d’assoliment dels objectius associats als indicadors del quadre de comandament</t>
  </si>
  <si>
    <t>Degà</t>
  </si>
  <si>
    <t>Gestora de Qualitat</t>
  </si>
  <si>
    <t xml:space="preserve"> PE1.01. Definició de la Política de Qualitat</t>
  </si>
  <si>
    <t>PE1.01_Ind02.</t>
  </si>
  <si>
    <t>Percentatge de propostes de millora implementades, per curs acadèmic</t>
  </si>
  <si>
    <t>PE1-01_Ind03</t>
  </si>
  <si>
    <t>Número d'accions implantades,a  la Facultat de Ciències, directament relacionades amb els ODS (Pla Estratègic 2022/2023 fins 2024/2025)</t>
  </si>
  <si>
    <t>3 accions dins el mandat</t>
  </si>
  <si>
    <t>Pla Estratègic</t>
  </si>
  <si>
    <t>PE1.01_Ind04</t>
  </si>
  <si>
    <t>Percentatge d'assistència, del degà, a les sessions de les Comissions del Rectorat  (Pla Estratègic 2022/2023 fins 2024/2025)</t>
  </si>
  <si>
    <t>PE1.02_Ind01.</t>
  </si>
  <si>
    <t>Percentatge de processos modificats a cada revisió</t>
  </si>
  <si>
    <t xml:space="preserve"> Vicedegana d'Afers Acadèmics de Grau</t>
  </si>
  <si>
    <t xml:space="preserve"> PE1.02. Definició, Desplegament, Seguiment i Revisió del Sistema de Garantia Interna de Qualitat (SGIQ)</t>
  </si>
  <si>
    <t>PE1.02_Ind02.</t>
  </si>
  <si>
    <t>Nombre d'informes de qualitat presentats a la Junta Permanent i/o Junta de Facultat</t>
  </si>
  <si>
    <t>mínim 2</t>
  </si>
  <si>
    <t>PE1.02_Ind03</t>
  </si>
  <si>
    <t>Distribució per categories del personal de gestió de qualitat a la Facultat de Ciències.</t>
  </si>
  <si>
    <t>PE1.03_Ind01.</t>
  </si>
  <si>
    <t>Ràtio de places en primera opció versus places ofertades, per curs acadèmic i titulació</t>
  </si>
  <si>
    <t>Vicedegà d’Economia i Afers Acadèmics de Postgrau</t>
  </si>
  <si>
    <t>≥ 0.8</t>
  </si>
  <si>
    <t>PE1.03. Creació,  Disseny i Extinció de Titulacions. Mapa de Titulacions</t>
  </si>
  <si>
    <t>PE1.03_Ind02</t>
  </si>
  <si>
    <t xml:space="preserve">Taxa de graduació, a temps complert, per curs acadèmic i titulació (per cohort, N+1, Graus). </t>
  </si>
  <si>
    <t>≥ 50%</t>
  </si>
  <si>
    <t>PE1.03_Ind03</t>
  </si>
  <si>
    <t>Taxa de graduació per curs acadèmic, a temps complert, i titulació (per cohort, n+1, Màsters).</t>
  </si>
  <si>
    <t>≥ 85%</t>
  </si>
  <si>
    <t>PE1.03_Ind04</t>
  </si>
  <si>
    <t xml:space="preserve">Taxa d’ocupació de les persones titulades, per titulació </t>
  </si>
  <si>
    <t>≥70%</t>
  </si>
  <si>
    <t>PE1.03_Ind05</t>
  </si>
  <si>
    <t>Percentatge de titulacions coordinades que s’han presentat a AQU per ser verificades, en relació amb la totalitat de titulacions coordinades</t>
  </si>
  <si>
    <t>&lt;25%</t>
  </si>
  <si>
    <t>PE1.03_Ind06</t>
  </si>
  <si>
    <t>Percentatge de titulacions extingides en comparació amb la totalitat de titulacions coordinades per la Facultat.</t>
  </si>
  <si>
    <t>PE1.03_Ind07</t>
  </si>
  <si>
    <t>Percentatge de titulacions híbrides coordinades.</t>
  </si>
  <si>
    <t>&lt;10%</t>
  </si>
  <si>
    <t>PC2.01_Ind01</t>
  </si>
  <si>
    <t>Percentatge de guies docents publicades respecte a les assignatures programades</t>
  </si>
  <si>
    <t>Gestor de Programació Docent</t>
  </si>
  <si>
    <t>PC2.01. Planificació i Programació d’Assignatures. Guies Docents</t>
  </si>
  <si>
    <t>PC2.01_Ind02</t>
  </si>
  <si>
    <t xml:space="preserve">Percentatge d’hores de docència impartides per PDI amb títol de Doctor </t>
  </si>
  <si>
    <t>PC2.01_Ind03</t>
  </si>
  <si>
    <t>Valoració mitjana a l’afirmació “Fins ara s’ha seguit la programació de l’assignatura que s’explica a la guia docent dels Graus"</t>
  </si>
  <si>
    <t>≥3</t>
  </si>
  <si>
    <t>PC2.02. Programació de Treball de Fi d'Estudis (TFE)</t>
  </si>
  <si>
    <t>PC2.01_Ind04</t>
  </si>
  <si>
    <t xml:space="preserve">Valoració mitjana a l’afirmació “Fins ara s’ha seguit la programació de l’assignatura que s’explica a la guia docent dels Màsters"  </t>
  </si>
  <si>
    <t>PC2.01_Ind05</t>
  </si>
  <si>
    <t>Evolució del número d'assignatures en anglès als Màsters oficials de la Facultat (Pla Estratègic 2022/2023 a 2024/2025)</t>
  </si>
  <si>
    <t>Augmentar 5%</t>
  </si>
  <si>
    <t>PC2.02_Ind01.</t>
  </si>
  <si>
    <t>Grau de satisfacció dels/de les estudiants amb el TFE, segons les enquestes d’avaluació corresponents (enquesta titulats)</t>
  </si>
  <si>
    <t>≥3,5</t>
  </si>
  <si>
    <t>PC2.03_Ind01.</t>
  </si>
  <si>
    <t xml:space="preserve">Persona responsable de convenis i pràctiques dins la Gestió Acadèmica </t>
  </si>
  <si>
    <t>PC2.03 Programació de Pràctiques Externes (PE)</t>
  </si>
  <si>
    <t xml:space="preserve">PC2.03_Ind02. </t>
  </si>
  <si>
    <t xml:space="preserve"> Grau de satisfacció dels/de les participants en programes de Pràctiques Externes. (Graus) (Enquesta Titulats)</t>
  </si>
  <si>
    <t xml:space="preserve"> PC2.04_Ind01.</t>
  </si>
  <si>
    <t>Nombre de Comissions de Docència realitzades per curs i titulació</t>
  </si>
  <si>
    <t>≥1</t>
  </si>
  <si>
    <t>PC2.04. Seguiment  i Millora de Titulacions</t>
  </si>
  <si>
    <t xml:space="preserve">PC2.04_Ind02. </t>
  </si>
  <si>
    <t>Taxa d’abandonament a primer curs a temps complert</t>
  </si>
  <si>
    <t>≤25%</t>
  </si>
  <si>
    <t xml:space="preserve">PC2.04_Ind03. </t>
  </si>
  <si>
    <t>Taxa d’eficiència per titulació</t>
  </si>
  <si>
    <t>PC2.04_Ind04.</t>
  </si>
  <si>
    <r>
      <rPr>
        <sz val="10"/>
        <rFont val="Calibri"/>
        <family val="2"/>
      </rPr>
      <t>≥</t>
    </r>
    <r>
      <rPr>
        <sz val="10"/>
        <rFont val="Century Gothic"/>
        <family val="2"/>
      </rPr>
      <t>80%</t>
    </r>
  </si>
  <si>
    <t>PC2.05_Ind01.</t>
  </si>
  <si>
    <t>PC2.05. Modificació de Titulacions</t>
  </si>
  <si>
    <t xml:space="preserve">PC3.01_Ind01. </t>
  </si>
  <si>
    <t xml:space="preserve">Ràtio de sol.licituds en 1a preferència per l'oferta </t>
  </si>
  <si>
    <t xml:space="preserve">Gestor Acadèmic </t>
  </si>
  <si>
    <t>PC3.01. Accés a Estudis i Perfils d’Ingrés</t>
  </si>
  <si>
    <t>PC3.01_Ind02.</t>
  </si>
  <si>
    <t>Percentatge d’homes i dones matriculats per curs acadèmic i titulació</t>
  </si>
  <si>
    <t>40-60%</t>
  </si>
  <si>
    <t>PC3.01_Ind03.</t>
  </si>
  <si>
    <t>Percentatge global d’alumnat matriculat als màsters oficials provinent de l’estranger</t>
  </si>
  <si>
    <t>PC3.01_Ind04.</t>
  </si>
  <si>
    <t>Taxa de rendiment de nou accés per Grau</t>
  </si>
  <si>
    <t>PC3.01_Ind05.</t>
  </si>
  <si>
    <t>Evolució del número d'alumnat matriculat en els cursos propedèutics (Pla Estratègic 2022/2023 a 2023/2024)</t>
  </si>
  <si>
    <t>PC3.02_Ind01.</t>
  </si>
  <si>
    <t xml:space="preserve">Valoració mitjana a l’afirmació “La tutorització ha estat útil i ha contribuït a millorar el meu aprenentatge” per titulació (objectiu ≥3 sobre 5) </t>
  </si>
  <si>
    <t>Vicedegà d'Alumnat i de Promoció</t>
  </si>
  <si>
    <t>PC3.02. Tutorització de l’Alumnat</t>
  </si>
  <si>
    <t xml:space="preserve">PC3.03_Ind01. </t>
  </si>
  <si>
    <t xml:space="preserve">Nombre de convenis de mobilitat </t>
  </si>
  <si>
    <t xml:space="preserve">Vicedegana d’Intercanvis </t>
  </si>
  <si>
    <t xml:space="preserve">Responsable d’Intercanvis de la GA del centre </t>
  </si>
  <si>
    <t>PC3.03. Mobilitat de l’Alumnat</t>
  </si>
  <si>
    <t xml:space="preserve">PC3.03_Ind02. </t>
  </si>
  <si>
    <t>Valoració mitjana a l’afirmació “Les accions de mobilitat que he realitzat han estat rellevants per al meu aprenentatge” (Objectiu ≥3 sobre 5)</t>
  </si>
  <si>
    <t>PC3.03_Ind03</t>
  </si>
  <si>
    <t>Percentatge d’alumnat estranger (Graus)</t>
  </si>
  <si>
    <t xml:space="preserve">PC3.03_Ind04 </t>
  </si>
  <si>
    <t>Percentatge d’alumnat rebut per mitjà de programes de mobilitat (Incoming_ Graus)</t>
  </si>
  <si>
    <t>&lt;3</t>
  </si>
  <si>
    <t>PC3.03_Ind05</t>
  </si>
  <si>
    <t>Percentatge d’alumnat sortint per mitjà de programes de mobilitat (outgoing_ Graus)</t>
  </si>
  <si>
    <t>&lt;6</t>
  </si>
  <si>
    <t>PC3.04_Ind01.</t>
  </si>
  <si>
    <t xml:space="preserve">Taxa de rendiment per curs acadèmic i titulació  </t>
  </si>
  <si>
    <r>
      <rPr>
        <sz val="10"/>
        <rFont val="Calibri"/>
        <family val="2"/>
      </rPr>
      <t>≥</t>
    </r>
    <r>
      <rPr>
        <sz val="10"/>
        <rFont val="Century Gothic"/>
        <family val="2"/>
      </rPr>
      <t xml:space="preserve"> 80%</t>
    </r>
  </si>
  <si>
    <t>PC3.04. Avaluació de l’Alumnat</t>
  </si>
  <si>
    <t xml:space="preserve">PC3.04_Ind02. </t>
  </si>
  <si>
    <t>Puntuació mitjana a l’afirmació “El sistema d’avaluació s’explica clarament a la Guia Docent de l’assignatura” de l’enquesta de satisfacció d’assignatura dels graus i de mòdul dels màsters</t>
  </si>
  <si>
    <r>
      <rPr>
        <sz val="10"/>
        <rFont val="Calibri"/>
        <family val="2"/>
      </rPr>
      <t>≥</t>
    </r>
    <r>
      <rPr>
        <sz val="10"/>
        <rFont val="Century Gothic"/>
        <family val="2"/>
      </rPr>
      <t xml:space="preserve"> 3</t>
    </r>
  </si>
  <si>
    <t>PC3.04_Ind03.</t>
  </si>
  <si>
    <t>Valoració mitjana a l’afirmació “Els continguts de les proves i altres activitats d’avaluació es corresponen amb els continguts del curs i també amb el temps que el professorat va dedicar a cada tema</t>
  </si>
  <si>
    <t>≥ 3</t>
  </si>
  <si>
    <t>PC3.05_Ind01.</t>
  </si>
  <si>
    <t>Nombre de persones inscrites a les Jornades de Portes Obertes</t>
  </si>
  <si>
    <t xml:space="preserve">Vicedegà d’Alumnat i de Promoció  </t>
  </si>
  <si>
    <t xml:space="preserve">Secretària de Deganat </t>
  </si>
  <si>
    <t>≥ 2000</t>
  </si>
  <si>
    <t>PC3.05. Activitats de Promoció i Difusió</t>
  </si>
  <si>
    <t>PC3.05_Ind02.</t>
  </si>
  <si>
    <t>Número d'activitats realitzades pel Consell d'Estudiants (Pla Estratègic 2022/2023 a 2024/2025)</t>
  </si>
  <si>
    <t xml:space="preserve">PS4.01_Ind01. </t>
  </si>
  <si>
    <t>Taxa de matrícula respecte a les places ofertades per curs acadèmic i titulació (1er curs)</t>
  </si>
  <si>
    <t>PS4.01. Organització Acadèmica</t>
  </si>
  <si>
    <t xml:space="preserve">PS4.01_Ind02. </t>
  </si>
  <si>
    <t>Valoració mitjana de la pregunta “Els serveis de suport a l’estudiant (informació, matriculació, tràmits acadèmics, beques, orientació, etc.) m’han ofert un bon assessorament i atenció”</t>
  </si>
  <si>
    <t xml:space="preserve">PS4.02_Ind01. </t>
  </si>
  <si>
    <t>Percentatge de Taules de Mesures Correctores (TMC) retornades respecte de les TMC emeses</t>
  </si>
  <si>
    <t>Administradora de Centre</t>
  </si>
  <si>
    <t>PS4.02. Gestió de la Política de PAS</t>
  </si>
  <si>
    <t>PS4.02_Ind02.</t>
  </si>
  <si>
    <t>PS4.02_Ind03.</t>
  </si>
  <si>
    <t>Percentatge de queixes i suggeriments respostos dins de termini</t>
  </si>
  <si>
    <t>PS4.02_Ind04.</t>
  </si>
  <si>
    <t xml:space="preserve"> Temps mitjà de resposta igual o inferior a 7,5 dies hàbils de les queixes i els suggeriments (termini màxim: 15 dies hàbils)</t>
  </si>
  <si>
    <t xml:space="preserve">PS4.03_Ind01. </t>
  </si>
  <si>
    <t>Percentatge de PDI desglossat per categoria i sexe</t>
  </si>
  <si>
    <t xml:space="preserve">PS4.03. Gestió de la Política de PDI  </t>
  </si>
  <si>
    <t xml:space="preserve">PS4.03_Ind02. </t>
  </si>
  <si>
    <t>Percentatge d’hores de docència impartides per PDI amb títol de doctor (Graus)</t>
  </si>
  <si>
    <t>≥ 70%</t>
  </si>
  <si>
    <t xml:space="preserve">PS4.03_Ind03. </t>
  </si>
  <si>
    <t xml:space="preserve">Percentatge d’hores de docència impartides per PDI permanent </t>
  </si>
  <si>
    <t xml:space="preserve">≥ 55% </t>
  </si>
  <si>
    <t xml:space="preserve"> PS4.03_Ind04. </t>
  </si>
  <si>
    <t xml:space="preserve">Valoració mitjana per titulació a l’afirmació “Estic satisfet/a amb el professorat”, de l’enquesta de satisfacció dels titulats i titulades
</t>
  </si>
  <si>
    <t>PS4.03_Ind05.</t>
  </si>
  <si>
    <t>PS4.03_Ind06.</t>
  </si>
  <si>
    <t>1 bimensual</t>
  </si>
  <si>
    <t xml:space="preserve"> PS4.04_Ind01. </t>
  </si>
  <si>
    <t>Vicedegà d'Economia i d’Afers Acadèmics de Postgrau</t>
  </si>
  <si>
    <t>Gestora Econòmica</t>
  </si>
  <si>
    <t xml:space="preserve"> PS4.04 Gestió d’Espais i Equipaments</t>
  </si>
  <si>
    <t xml:space="preserve"> PS4.04_Ind03.  </t>
  </si>
  <si>
    <t>Valoració mitjana de la pregunta “Les instal·lacions (aules i espais docents) han estat adequades per afavorir el meu aprenentatge”.</t>
  </si>
  <si>
    <t xml:space="preserve"> </t>
  </si>
  <si>
    <t xml:space="preserve">PS4.04_Ind02. </t>
  </si>
  <si>
    <t>Import de la despesa econòmica que s’ha invertit a l’Edifici C en concepte de manteniment correctiu i preventiu (funcionament)</t>
  </si>
  <si>
    <t>Destinar el 100% dels recursos disponibles</t>
  </si>
  <si>
    <t xml:space="preserve"> PS4.05_Ind01.</t>
  </si>
  <si>
    <t>Els recursos facilitats pels serveis de biblioteca i de suport a la docència han respost a les meves necessitats (Enquesta sobre el grau de satisfacció dels egressats i de les egressades de la UAB)</t>
  </si>
  <si>
    <t>PS4.05. Gestió de Serveis</t>
  </si>
  <si>
    <t xml:space="preserve">PS4.05_Ind02. </t>
  </si>
  <si>
    <t>L’ús del Campus Virtual ha facilitat el meu aprenentatge (Enquestes sobre el grau de satisfacció dels egressats i de les egressades de la UAB)</t>
  </si>
  <si>
    <t xml:space="preserve"> PS5.03_Ind01.</t>
  </si>
  <si>
    <t xml:space="preserve"> Taxa d’ocupació de les persones titulades, per titulació. (Indicador PE1.03-Ind-05) </t>
  </si>
  <si>
    <t xml:space="preserve"> PS5.03_Ind02. </t>
  </si>
  <si>
    <t xml:space="preserve"> Nombre d’alumnes que realitzen Pràctiques curriculars desglossat per curs acadèmic i per titulació. </t>
  </si>
  <si>
    <t>PS05.03. Inserció laboral</t>
  </si>
  <si>
    <t xml:space="preserve"> PS5.03_Ind03. </t>
  </si>
  <si>
    <t>Valoració mitjana a l’afirmació “La formació rebuda m’ha permès millorar les capacitats per a l’activitat professional”.</t>
  </si>
  <si>
    <t>PS5.04. Satisfacció dels Grups d’Interès</t>
  </si>
  <si>
    <t>PS5.03_Ind04.</t>
  </si>
  <si>
    <r>
      <t>Evolució del nombre d'empreses (Indicador Pla Estratègic cursos de 2022/2023 fins 2024/2025).</t>
    </r>
    <r>
      <rPr>
        <sz val="8"/>
        <rFont val="Times New Roman"/>
        <family val="1"/>
      </rPr>
      <t> </t>
    </r>
  </si>
  <si>
    <t>Responsable de Pràctiques</t>
  </si>
  <si>
    <t xml:space="preserve"> PS5.04_Ind01. </t>
  </si>
  <si>
    <t>Percentatge de participació a les enquestes d’avaluació docent, desglossat per titulacions.</t>
  </si>
  <si>
    <t xml:space="preserve"> PS5.04_Ind02. </t>
  </si>
  <si>
    <t>Percentatge de participació a les enquestes de satisfacció de les assignatures, desglossat per titulacions.</t>
  </si>
  <si>
    <t xml:space="preserve"> PS5.04_Ind03. </t>
  </si>
  <si>
    <t>Valoració mitjana per titulació de l’afirmació “Estic satisfet/a amb la titulació” a les enquestes de satisfacció de la UAB.</t>
  </si>
  <si>
    <t xml:space="preserve"> PS5.04_Ind04. </t>
  </si>
  <si>
    <t>Percentatge de respostes per titulació de l’afirmació “Tornaria a triar la mateixa titulació” a les enquestes de satisfacció de la UAB</t>
  </si>
  <si>
    <t>G65%; M 85%</t>
  </si>
  <si>
    <t xml:space="preserve"> PS5.05_Ind01. </t>
  </si>
  <si>
    <t>Taxa d’eficàcia: percentatge de suggeriments i queixes respostes (15 dies hàbils)</t>
  </si>
  <si>
    <t xml:space="preserve"> PS5.05_Ind02. </t>
  </si>
  <si>
    <t>Temps mitjà de resposta igual o inferior a 7,5 dies hàbils de les queixes i els suggeriments (termini màxim: 15 dies hàbils</t>
  </si>
  <si>
    <t xml:space="preserve"> PS5.05_Ind03. </t>
  </si>
  <si>
    <t>Valoració mitjana a la pregunta “He rebut resposta adequada a les meves queixes i suggeriments</t>
  </si>
  <si>
    <t xml:space="preserve"> PS5.06_Ind01. </t>
  </si>
  <si>
    <t>Valoració mitjana a la pregunta: "La informació referent a la titulació al web és accessible i m’ha resultat útil".</t>
  </si>
  <si>
    <t xml:space="preserve"> PS5.06. Informació Pública</t>
  </si>
  <si>
    <t>Revisat i Actualitzat 29/04/2024</t>
  </si>
  <si>
    <t>Aprovat per JP: 22/05/2024</t>
  </si>
  <si>
    <t>Realitzat per: Mar Jorba (Gestora de Qualitat)</t>
  </si>
  <si>
    <t>Fitxa de seguiment de l'indicador</t>
  </si>
  <si>
    <t>1. Codi del l'indicador</t>
  </si>
  <si>
    <t>2. Nom de l'indicador</t>
  </si>
  <si>
    <t>3. Objectiu</t>
  </si>
  <si>
    <t>4. Classificació</t>
  </si>
  <si>
    <t>Política i Objectius de Qualitat</t>
  </si>
  <si>
    <t>5. Freqüència de la medició</t>
  </si>
  <si>
    <t>Anual</t>
  </si>
  <si>
    <t>6. Propietari</t>
  </si>
  <si>
    <t>7. Processos als que afecta</t>
  </si>
  <si>
    <t>8. Resultats</t>
  </si>
  <si>
    <t>2017/2018</t>
  </si>
  <si>
    <t>2018/2019</t>
  </si>
  <si>
    <t>2019/2020</t>
  </si>
  <si>
    <t>2020/2021</t>
  </si>
  <si>
    <t>2021/2022</t>
  </si>
  <si>
    <t>2022/2023</t>
  </si>
  <si>
    <t>Valor real</t>
  </si>
  <si>
    <t>Valor objectiu</t>
  </si>
  <si>
    <t>% Compliment</t>
  </si>
  <si>
    <t>9. Gràfic</t>
  </si>
  <si>
    <t>10. Observacions</t>
  </si>
  <si>
    <t>3.  Objectiu</t>
  </si>
  <si>
    <t>Estratègic</t>
  </si>
  <si>
    <t>_</t>
  </si>
  <si>
    <t xml:space="preserve">_ </t>
  </si>
  <si>
    <t>No es tenen dades d'aquest indicador dels cursos anteriors al 2022/2023, ja que es tracta d'un indicador del Pla estratègic de l'actual Equip de Deaganat (curs 2022/2023 fins 2024/2025).</t>
  </si>
  <si>
    <t>Compliment</t>
  </si>
  <si>
    <t xml:space="preserve"> Política i Objectius de Qualitat</t>
  </si>
  <si>
    <t>6. Responsable de la gestió</t>
  </si>
  <si>
    <t>Graus</t>
  </si>
  <si>
    <t>Ciències Ambientals</t>
  </si>
  <si>
    <t>Ciències Ambientals + Geologia</t>
  </si>
  <si>
    <t>Estadística Aplicada</t>
  </si>
  <si>
    <t>Física</t>
  </si>
  <si>
    <t>Física + Matemàtiques</t>
  </si>
  <si>
    <t>Física + Química</t>
  </si>
  <si>
    <t>Geologia</t>
  </si>
  <si>
    <t>Matemàtica Computacional i Analítica de Dades</t>
  </si>
  <si>
    <t>Matemàtiques</t>
  </si>
  <si>
    <t>Nanociència i Nanotecnologia</t>
  </si>
  <si>
    <t>Química</t>
  </si>
  <si>
    <t>Valor objectiu ≥ 0.8</t>
  </si>
  <si>
    <t>&gt; o = 0,8</t>
  </si>
  <si>
    <t>Total titulacions</t>
  </si>
  <si>
    <t>2015/2016</t>
  </si>
  <si>
    <t>2016/2017</t>
  </si>
  <si>
    <t>(*)</t>
  </si>
  <si>
    <t>Ciències Ambientals i Geologia</t>
  </si>
  <si>
    <t xml:space="preserve">Física i Matemátiques
</t>
  </si>
  <si>
    <t>Física i  Química</t>
  </si>
  <si>
    <t>Totals &gt;50%</t>
  </si>
  <si>
    <t>Total</t>
  </si>
  <si>
    <t xml:space="preserve">Per l'entrada de la cohort 2019/2022, en data 13 de març de 2024 no hi ha les dades disponibles al Datadash. </t>
  </si>
  <si>
    <t>Estudis Interdisciplinaris en Sostenibilitat Ambiental, Econòmica i Social</t>
  </si>
  <si>
    <t>Física d'Altes Energies, Astrofísica i Cosmologiada</t>
  </si>
  <si>
    <t>Història de la Ciència. Ciència, Història i Societat</t>
  </si>
  <si>
    <t>Modelització per a la Ciència i l'Enginyeria</t>
  </si>
  <si>
    <t>Paleobiologia i Registre Fòssil</t>
  </si>
  <si>
    <t>Química Industrial i Introducció a la Recerca de la Química</t>
  </si>
  <si>
    <t>NÚM 85%</t>
  </si>
  <si>
    <t>TOTALS</t>
  </si>
  <si>
    <t>*</t>
  </si>
  <si>
    <t>70,4 %%</t>
  </si>
  <si>
    <t>**</t>
  </si>
  <si>
    <r>
      <t>**</t>
    </r>
    <r>
      <rPr>
        <sz val="10"/>
        <color rgb="FF000000"/>
        <rFont val="Times New Roman"/>
        <family val="1"/>
      </rPr>
      <t xml:space="preserve"> *</t>
    </r>
  </si>
  <si>
    <r>
      <t>*</t>
    </r>
    <r>
      <rPr>
        <sz val="10"/>
        <color rgb="FF000000"/>
        <rFont val="Times New Roman"/>
        <family val="1"/>
      </rPr>
      <t>**</t>
    </r>
  </si>
  <si>
    <t>Física d’Altes Energies, Astrofísica i Cosmologia</t>
  </si>
  <si>
    <t>Història de la Ciència: Ciència, Història i Societat</t>
  </si>
  <si>
    <t>Modelització per a la Ciència, Història i Societat</t>
  </si>
  <si>
    <t>Nanociència i Nanotecnologia Avançades</t>
  </si>
  <si>
    <t>Aquest indicador s'extreu de l'enquesta fa AQU cada 3 anys.</t>
  </si>
  <si>
    <t>Química Industrial i Introducció a la Recerca Química</t>
  </si>
  <si>
    <t>&gt;=70%</t>
  </si>
  <si>
    <t>2023/2024</t>
  </si>
  <si>
    <t>Total titulacions coordinades</t>
  </si>
  <si>
    <t>% titulacions presentades per ser verificades</t>
  </si>
  <si>
    <t>Objectiu màx 25%</t>
  </si>
  <si>
    <t>compliment</t>
  </si>
  <si>
    <t>Objectiu màx 25</t>
  </si>
  <si>
    <t xml:space="preserve">Estadística Aplicada   </t>
  </si>
  <si>
    <t xml:space="preserve">Nanociència i Nanotecnologia   </t>
  </si>
  <si>
    <t>Matemàtiques Computacional de Dades</t>
  </si>
  <si>
    <t>__</t>
  </si>
  <si>
    <t>Estudis inter. en sostenibilitat ambiental, econòmica i social</t>
  </si>
  <si>
    <t>Física d'Altes Energies, Astrofísica i Cosmologia</t>
  </si>
  <si>
    <t>Història de la Ciència: ciència, història i societat</t>
  </si>
  <si>
    <t>Modelització per a la ciència i l'enginyeria</t>
  </si>
  <si>
    <t xml:space="preserve">Nanociència i Nanotecnologia avançades </t>
  </si>
  <si>
    <t>Química industrial i introducció a la recerca química</t>
  </si>
  <si>
    <t xml:space="preserve">Paleobiologia i Registre Fòssil </t>
  </si>
  <si>
    <t>90.3%</t>
  </si>
  <si>
    <t>CCAA+Geologia</t>
  </si>
  <si>
    <t>Física+Matemàtiques</t>
  </si>
  <si>
    <t>Física +Química</t>
  </si>
  <si>
    <t>97.34%</t>
  </si>
  <si>
    <t xml:space="preserve"> Total</t>
  </si>
  <si>
    <t>Valor</t>
  </si>
  <si>
    <t>3</t>
  </si>
  <si>
    <t>Estudis interdisciplinaris en sostenibilitat ambiental, econòmica i social</t>
  </si>
  <si>
    <t>En els casos on hi ha cap dada és perquè la mostra és molt baixa i es considera que no és rellevant. Curs 2022/2023: Per alguns màsters només hi ha dades d'un semestre, per tant, no s'ha fet la mitjana dels dos semestres (Estudis Interdisciplinaris, Física d'Altes Energies i Química Industrial).</t>
  </si>
  <si>
    <t>Història de la Ciència; Ciència, Història i Societat</t>
  </si>
  <si>
    <t>Modelització per a la Ciència i la Enginyeria</t>
  </si>
  <si>
    <t xml:space="preserve">- </t>
  </si>
  <si>
    <t>-</t>
  </si>
  <si>
    <t>Número</t>
  </si>
  <si>
    <t>Número any anterior</t>
  </si>
  <si>
    <t>Percentatge</t>
  </si>
  <si>
    <t>Objectiu Augmentar 5%</t>
  </si>
  <si>
    <t>Curs 2021/2022 s'han restat el número d'assignatures de paleobiologia del curs 20/21, ja que en el curs 21/22 no es van publicar, per tant, no les hem tingut en compte a l'hora de calcular el % curs 21/22.</t>
  </si>
  <si>
    <t>3. objectiu</t>
  </si>
  <si>
    <t>Valoració mitjana a l’afirmació “El treball de fi d’estudis m’ha estat útil per consolidar les competències de la titulació”
Objectiu ≥ 3 sobre 5</t>
  </si>
  <si>
    <t>1 </t>
  </si>
  <si>
    <t> 1</t>
  </si>
  <si>
    <t>Aquesta pregunta només està a l'enquesta de titulats dels graus no dels màsters. En el curs 2022/2023 no s'han pogut mostrar els resultats, ja que en data 2/04/2024 no estan publicats els resultats de l’enquesta de titulats</t>
  </si>
  <si>
    <t xml:space="preserve">Química  </t>
  </si>
  <si>
    <t>Valor Objectiu</t>
  </si>
  <si>
    <t>Total titulacions &lt; o = 10</t>
  </si>
  <si>
    <t xml:space="preserve">Total titulacions  </t>
  </si>
  <si>
    <t>11. Gràfic</t>
  </si>
  <si>
    <t>Física+Química</t>
  </si>
  <si>
    <r>
      <t xml:space="preserve"> </t>
    </r>
    <r>
      <rPr>
        <sz val="11"/>
        <rFont val="Roboto"/>
      </rPr>
      <t>En el curs 2022/2023 no s'han pogut mostrar els resultats, ja que en data 2/04/2024 no estan publicats els resultats de l’enquesta de titulats</t>
    </r>
  </si>
  <si>
    <t xml:space="preserve">Química   </t>
  </si>
  <si>
    <t>Física i Matemàtiques</t>
  </si>
  <si>
    <t>Física i Química</t>
  </si>
  <si>
    <t xml:space="preserve"> Matemàtica Computacional i Anàlisi de Dades</t>
  </si>
  <si>
    <t>Modelització per a la Ciència</t>
  </si>
  <si>
    <t>Nanociència i Nanotecnologia avançade</t>
  </si>
  <si>
    <t>Estudis interdisciplinars en Sostenibilitat Ambiental, Econòmica i Social</t>
  </si>
  <si>
    <t>13% </t>
  </si>
  <si>
    <t>Ciències Ambientals i Grau en Geologia</t>
  </si>
  <si>
    <t>97%*</t>
  </si>
  <si>
    <t>10% </t>
  </si>
  <si>
    <t>95%*</t>
  </si>
  <si>
    <t>24% </t>
  </si>
  <si>
    <t>0% </t>
  </si>
  <si>
    <t>26% </t>
  </si>
  <si>
    <t>Matemàtica Computacional</t>
  </si>
  <si>
    <t>9% </t>
  </si>
  <si>
    <t>11% </t>
  </si>
  <si>
    <t>12% </t>
  </si>
  <si>
    <t xml:space="preserve"> _ </t>
  </si>
  <si>
    <t>2% </t>
  </si>
  <si>
    <t>4% </t>
  </si>
  <si>
    <t>3% </t>
  </si>
  <si>
    <t>Les dades 20/21 dels graus no estan ben comptabilitzades, com a conseqüència de l'atac informàtic de l'octubre 2021.</t>
  </si>
  <si>
    <t>Curs 2022/2023 modifiquem el nom, incorporem a temps complert.</t>
  </si>
  <si>
    <t>2017/2018(TC)</t>
  </si>
  <si>
    <t>2018/2019(TC)</t>
  </si>
  <si>
    <t>2019/2020(TC)</t>
  </si>
  <si>
    <t>2020/2021(TC)</t>
  </si>
  <si>
    <t>2021/2022(TC)</t>
  </si>
  <si>
    <t>2022/2023(TC)</t>
  </si>
  <si>
    <t xml:space="preserve"> S'ha agafat només el temps complert.</t>
  </si>
  <si>
    <t>Dades actualitzades novembre 2023.</t>
  </si>
  <si>
    <t>3.Objectiu</t>
  </si>
  <si>
    <t>3.04</t>
  </si>
  <si>
    <t>Participació</t>
  </si>
  <si>
    <t>31,73 1er sem/20,85% 2n sem</t>
  </si>
  <si>
    <t xml:space="preserve">35,21% 1er sem/20,7% 2n sem </t>
  </si>
  <si>
    <t>Nombre de titulacions amb una valoració global superior o igual a 3 sobre 4. (Enquesta d’assignatures)</t>
  </si>
  <si>
    <t>&gt; o=3</t>
  </si>
  <si>
    <t>no</t>
  </si>
  <si>
    <t>No</t>
  </si>
  <si>
    <t>si</t>
  </si>
  <si>
    <t>Si</t>
  </si>
  <si>
    <t>Total modificacions presentades AQU</t>
  </si>
  <si>
    <t>Total modificacions presentades AQU amb avaluació favorable</t>
  </si>
  <si>
    <t>Curs acadèmic</t>
  </si>
  <si>
    <t>2019/20</t>
  </si>
  <si>
    <t>Estudi</t>
  </si>
  <si>
    <t>Ràtio</t>
  </si>
  <si>
    <t>Grau en Física</t>
  </si>
  <si>
    <t>Grau en Matemàtiques</t>
  </si>
  <si>
    <t>Grau en Física i Matemàtiques</t>
  </si>
  <si>
    <t>Grau en Ciències Ambientals</t>
  </si>
  <si>
    <t>Grau en Geologia</t>
  </si>
  <si>
    <t>Grau en Nanociència i Nanotecnologia</t>
  </si>
  <si>
    <t>Grau en Química</t>
  </si>
  <si>
    <t>Grau en Física i Química</t>
  </si>
  <si>
    <t>Grau en Ciències Ambientals / Geologia</t>
  </si>
  <si>
    <t>Grau en Matemàtica Computacional i Analítica de Dades</t>
  </si>
  <si>
    <t>Grau en Estadística Aplicada</t>
  </si>
  <si>
    <t>Total Titulacions</t>
  </si>
  <si>
    <t>Total titulacions &gt; o = 0,8</t>
  </si>
  <si>
    <t>Titulació</t>
  </si>
  <si>
    <t>Dona</t>
  </si>
  <si>
    <t>Home</t>
  </si>
  <si>
    <t>CCAA i Geologia</t>
  </si>
  <si>
    <t>Màsters</t>
  </si>
  <si>
    <t>Estudis Interdisciplinaris en Sostenibilitat Ambiental</t>
  </si>
  <si>
    <t>Física d’Altes Energies</t>
  </si>
  <si>
    <t>Història de la Ciència</t>
  </si>
  <si>
    <t>Modelització per a la Ciència i l’Enginyeria</t>
  </si>
  <si>
    <t>número total de titulacions</t>
  </si>
  <si>
    <t>titulacions = o &gt;20%</t>
  </si>
  <si>
    <t xml:space="preserve">  </t>
  </si>
  <si>
    <t>Cursos propadeutics</t>
  </si>
  <si>
    <t>Total curs anterior</t>
  </si>
  <si>
    <t>15% +</t>
  </si>
  <si>
    <t> 3,86</t>
  </si>
  <si>
    <t>3,88 </t>
  </si>
  <si>
    <t> 3,14</t>
  </si>
  <si>
    <t>Matemàtica Computacional I Analítica de Dades</t>
  </si>
  <si>
    <t> 3,40</t>
  </si>
  <si>
    <t> 3,27</t>
  </si>
  <si>
    <t> 3,53</t>
  </si>
  <si>
    <t xml:space="preserve"> Total titulacion &lt;=3</t>
  </si>
  <si>
    <t>Percentatge de participació</t>
  </si>
  <si>
    <t>(*) En data 2/04/2024 no tenim les dades d'aquesta enquesta, pel curs 2022/2023.</t>
  </si>
  <si>
    <t>ERASMUS +</t>
  </si>
  <si>
    <t>0521 - Ciències del medi ambient</t>
  </si>
  <si>
    <t>0532 - Ciències de la terra</t>
  </si>
  <si>
    <t xml:space="preserve"> 0540 - Matemàtiques i estadística, no definit
0541 - Matemàtiques
0549 - Matemàtiques i estadística,no classificat</t>
  </si>
  <si>
    <t>0542 - Estadística</t>
  </si>
  <si>
    <t>0533 - Física</t>
  </si>
  <si>
    <t>13.3 Química</t>
  </si>
  <si>
    <t>SICUE</t>
  </si>
  <si>
    <t>0000 - Física i Matemàtiques</t>
  </si>
  <si>
    <t>0000 - Física i Química</t>
  </si>
  <si>
    <t>303200000000 - Física</t>
  </si>
  <si>
    <t>303300000000 - Geología</t>
  </si>
  <si>
    <t>303400000000 - Matemáticas</t>
  </si>
  <si>
    <t>307400000000 - Química</t>
  </si>
  <si>
    <t>307700000000 - Ciencias Ambientales</t>
  </si>
  <si>
    <t>400400000000 - Estadística</t>
  </si>
  <si>
    <t>EXCHANGE PROGRAM</t>
  </si>
  <si>
    <t>000 - Centres diversos</t>
  </si>
  <si>
    <t>103 - Facultat de Ciències</t>
  </si>
  <si>
    <t>Total (ERASMUS+SICUE+EXCHANGE PROGRAM)</t>
  </si>
  <si>
    <t>Curs 2022/2023 S'ha modificat la codificació de les àrees d'estudi. Queden substituïts els antics codis, pels nous codis ISCED</t>
  </si>
  <si>
    <t>En els casos on no hi ha dades és perquè no hi ha suficient mostra, a excepció del Grau en Matemàtica Computacional i Analítica de Dades que es va implantar en el curs 18/19 i fins el curs 21/22 no hi ha titulats. Aquesta enquesta és la titulats. En el curs 21/22 l'enquesta l'ha portada a terme AQU. (*)En el curs 2022,2023:  En data 2/04/2024 no s’han publicat les dades de l’enquesta de titulats d’AQU.</t>
  </si>
  <si>
    <t>Pais Naixement (Estudiants matriculats)</t>
  </si>
  <si>
    <t>Andorra</t>
  </si>
  <si>
    <t>Argentina</t>
  </si>
  <si>
    <t>Austria</t>
  </si>
  <si>
    <t>Bangladesh</t>
  </si>
  <si>
    <t>Bolivia</t>
  </si>
  <si>
    <t>Brazil</t>
  </si>
  <si>
    <t>Bulgaria</t>
  </si>
  <si>
    <t>Byelarus</t>
  </si>
  <si>
    <t>Chile</t>
  </si>
  <si>
    <t>China</t>
  </si>
  <si>
    <t>Colombia</t>
  </si>
  <si>
    <t>Cuba</t>
  </si>
  <si>
    <t>Dominican Republic</t>
  </si>
  <si>
    <t>Ecuador</t>
  </si>
  <si>
    <t>El Salvador</t>
  </si>
  <si>
    <t>Ethiopia</t>
  </si>
  <si>
    <t>France</t>
  </si>
  <si>
    <t>Germany</t>
  </si>
  <si>
    <t>Honduras</t>
  </si>
  <si>
    <t>Hungary</t>
  </si>
  <si>
    <t>India</t>
  </si>
  <si>
    <t>Israel</t>
  </si>
  <si>
    <t>Italy</t>
  </si>
  <si>
    <t>Japan</t>
  </si>
  <si>
    <t>Kazakhstan</t>
  </si>
  <si>
    <t>Mexico</t>
  </si>
  <si>
    <t>Moldova</t>
  </si>
  <si>
    <t>Mongolia</t>
  </si>
  <si>
    <t>Morocco</t>
  </si>
  <si>
    <t>Netherlands</t>
  </si>
  <si>
    <t>Nicaragua</t>
  </si>
  <si>
    <t>Nigeria</t>
  </si>
  <si>
    <t>Pakistan</t>
  </si>
  <si>
    <t>Paraguay</t>
  </si>
  <si>
    <t>Peru</t>
  </si>
  <si>
    <t>Portugal</t>
  </si>
  <si>
    <t>Romania</t>
  </si>
  <si>
    <t>Russia</t>
  </si>
  <si>
    <t>Senegal</t>
  </si>
  <si>
    <t>Singapore</t>
  </si>
  <si>
    <t>Spain</t>
  </si>
  <si>
    <t>Sweden</t>
  </si>
  <si>
    <t>Switzerland</t>
  </si>
  <si>
    <t>Ukraine</t>
  </si>
  <si>
    <t>United Kingdom</t>
  </si>
  <si>
    <t>United States</t>
  </si>
  <si>
    <t>Uruguay</t>
  </si>
  <si>
    <t>Venezuela</t>
  </si>
  <si>
    <t>TOTAL</t>
  </si>
  <si>
    <t xml:space="preserve"> Total %</t>
  </si>
  <si>
    <t>Compliment valor objectiu  meys d'un 10%</t>
  </si>
  <si>
    <t>2022/23</t>
  </si>
  <si>
    <t>2021/22</t>
  </si>
  <si>
    <t>2020/21</t>
  </si>
  <si>
    <t>Programa de mobilitat</t>
  </si>
  <si>
    <t>Erasmus+</t>
  </si>
  <si>
    <t>Visitants Facultats</t>
  </si>
  <si>
    <t>UAB Exchange Programme</t>
  </si>
  <si>
    <t>Study Abroad</t>
  </si>
  <si>
    <t>Total alumant</t>
  </si>
  <si>
    <t>Compliment objectiu&lt; 3</t>
  </si>
  <si>
    <t>objectiu</t>
  </si>
  <si>
    <t>Total %</t>
  </si>
  <si>
    <t xml:space="preserve">Home </t>
  </si>
  <si>
    <t>0,10 1</t>
  </si>
  <si>
    <t>Estadística Aplicada i Sociologia</t>
  </si>
  <si>
    <t>Total Alumnat</t>
  </si>
  <si>
    <t>Objectiu &lt; 6</t>
  </si>
  <si>
    <t>%</t>
  </si>
  <si>
    <t xml:space="preserve"> Química Industrial i Introducció a la Recerca de la Química</t>
  </si>
  <si>
    <t xml:space="preserve"> S'ha fet la mitja entre els dos semestres</t>
  </si>
  <si>
    <t xml:space="preserve">Nombre de persones </t>
  </si>
  <si>
    <t>Valor de l'objectiu</t>
  </si>
  <si>
    <t>Núm.Activitats</t>
  </si>
  <si>
    <t xml:space="preserve"> _</t>
  </si>
  <si>
    <t>Aquest Equip de Deganat va començar el seu mandat en el curs 22/23, per tant, no tenim dades d'aquest indicador estratègic.</t>
  </si>
  <si>
    <t xml:space="preserve">Objectiu </t>
  </si>
  <si>
    <t xml:space="preserve">Valor objectiu </t>
  </si>
  <si>
    <t xml:space="preserve"> - Enquesta de titulats. En algunes titulacions no hi ha suficient mostra.  (*)  En data 2/04/2024 no estan publics els resultats de l’enquesta de titulats que realitza AQU.</t>
  </si>
  <si>
    <t>Emeses</t>
  </si>
  <si>
    <t>Retornades</t>
  </si>
  <si>
    <t xml:space="preserve"> La taula que manca està retornada parcialment, és a dir, que està retornada la part que és competència de la Direcció d’Arquitectura i Logística, però no la que ha d’emplenar l’àmbit on s’ha fet l’avaluació del lloc de treball.
Hem de tenir present, que aquestes dades corresponen a la Facultat de Biociències i a la de Ciències, ja que comparteixen Edifici.</t>
  </si>
  <si>
    <t>VALOR</t>
  </si>
  <si>
    <t>Curs 2021/2022 De les 3 avaluacions no retornades, 2 no es van poder fer perquè les persones estaven de baixa per incapacitat transitòria i 1 va ser pel ciberatac, cosa que va fer que es fes en una única avaluació la corresponent als 3 i als 6 mesos.</t>
  </si>
  <si>
    <t>Cal tenir present que, com a conseqüència del ciberatac (11/10/21), aquest aplicatiu va deixar d'estar operatiu des de l'11/10/21 fins el 30/03/22, per tant aquest informe no és comparable amb el d'altres cursos.</t>
  </si>
  <si>
    <t>Dies</t>
  </si>
  <si>
    <t>Departament</t>
  </si>
  <si>
    <t>Categoria</t>
  </si>
  <si>
    <t>Dones</t>
  </si>
  <si>
    <t>Homes</t>
  </si>
  <si>
    <t>% dones</t>
  </si>
  <si>
    <t>Departament de Física</t>
  </si>
  <si>
    <t>Associat</t>
  </si>
  <si>
    <t>Catedràtic contractat</t>
  </si>
  <si>
    <t>Catedràtic universitari</t>
  </si>
  <si>
    <t>Professors emèrits</t>
  </si>
  <si>
    <t>Professor agregat</t>
  </si>
  <si>
    <t>Professor lector</t>
  </si>
  <si>
    <t>Visitant</t>
  </si>
  <si>
    <t>Associat permanent estranger</t>
  </si>
  <si>
    <t>Titular universitari</t>
  </si>
  <si>
    <t>Departament de Geologia</t>
  </si>
  <si>
    <t>Catedràtic escola universitària</t>
  </si>
  <si>
    <t>Departament de Matemàtiques</t>
  </si>
  <si>
    <t>Departament de Química</t>
  </si>
  <si>
    <t>Total Dones</t>
  </si>
  <si>
    <t>Total 30%</t>
  </si>
  <si>
    <t>Compliment%</t>
  </si>
  <si>
    <t>CCAA + Geologia</t>
  </si>
  <si>
    <t xml:space="preserve"> Paleobiologia i Registre Fòssil</t>
  </si>
  <si>
    <t>Física i matemàtiques</t>
  </si>
  <si>
    <t xml:space="preserve"> (*) no hi ha dades disponibles al Datadash en data 18/03/2024.</t>
  </si>
  <si>
    <t>8. Responsable de la gestió</t>
  </si>
  <si>
    <t>--</t>
  </si>
  <si>
    <t xml:space="preserve"> S'ha fet la mitja entre els dos semestres, a excepció del curs 19/20, que només es va realitzar l'enquesta al primer semestre a causa de la pandèmia Covid 19.                        (*) En data 18/03/2024 no hi ha les dades publicades  de l’enquesta de titulats que realitza d’AQU.</t>
  </si>
  <si>
    <t>Número d'accions polítiques que s'han fet amb les coordinacions</t>
  </si>
  <si>
    <t>Aquest indicador és un indicador del Pla Estratègic, aquest Equip de Deganat va entrar al setembre del 2022, en el curs 2022/2023, per tant, no tenim dades del curs 2021/2022.                                         (*) Dada des de setembre del 2022 fins el 22/05/2023.</t>
  </si>
  <si>
    <t xml:space="preserve">Número de reunions fetes entre el Deganat i totes les direccions de Departament de la Facultat   </t>
  </si>
  <si>
    <t>1 BIMENSUAL</t>
  </si>
  <si>
    <t>Despesa</t>
  </si>
  <si>
    <t> 38.960,08 €</t>
  </si>
  <si>
    <t>Pressupost</t>
  </si>
  <si>
    <t>valor objectiu</t>
  </si>
  <si>
    <t>Despesa Executada</t>
  </si>
  <si>
    <t xml:space="preserve"> (*) En data 2/04/2024 no estan publicats els resultats de l’enquesta de tittulats.                                                </t>
  </si>
  <si>
    <t> 4,19</t>
  </si>
  <si>
    <t> 4,29</t>
  </si>
  <si>
    <t> 4,50</t>
  </si>
  <si>
    <t> 4,33</t>
  </si>
  <si>
    <t> 4,44</t>
  </si>
  <si>
    <t> 4,13</t>
  </si>
  <si>
    <t> 4,55</t>
  </si>
  <si>
    <t>(*) En data 2/04/2024 no estan publicats els resultats de les enquestes d etitulats i titulades que fa AQU.</t>
  </si>
  <si>
    <t> 3,91</t>
  </si>
  <si>
    <t> 4,16</t>
  </si>
  <si>
    <t xml:space="preserve">(*) En data 2/04/2024 no estan publicats els resultats de les enquestes de titulats i titulades que realitza AQU.
 </t>
  </si>
  <si>
    <t>Palleobiologia i Registre Fòssil</t>
  </si>
  <si>
    <t>3. Tipologia d'indicador</t>
  </si>
  <si>
    <t>9. Processos als que afecta</t>
  </si>
  <si>
    <t>10. Resultats</t>
  </si>
  <si>
    <t>Grau</t>
  </si>
  <si>
    <t>Estudis Intersdisciplinars en Sost. Ambiental, Econ. i Social</t>
  </si>
  <si>
    <t>Total &gt;10</t>
  </si>
  <si>
    <t xml:space="preserve">Total </t>
  </si>
  <si>
    <r>
      <t xml:space="preserve"> </t>
    </r>
    <r>
      <rPr>
        <sz val="11"/>
        <rFont val="Roboto"/>
      </rPr>
      <t>Cal destacar que, en el cas dels dobles graus, s'identifica l'alumnat amb la titulació simple ja que comparteixen la mateixa assignatura.</t>
    </r>
  </si>
  <si>
    <t xml:space="preserve"> (*) En data 3/04/2024 no tenim els resultats de l’enquesta de titulats i tiludaes que realitza AQU.</t>
  </si>
  <si>
    <t>Evolució del nombre d'empreses</t>
  </si>
  <si>
    <t>increment</t>
  </si>
  <si>
    <t xml:space="preserve">  Política i Objectius de Qualitat</t>
  </si>
  <si>
    <t>NA</t>
  </si>
  <si>
    <t xml:space="preserve">__ </t>
  </si>
  <si>
    <t xml:space="preserve"> S'ha fet la mitja entre els dos semestres a excepció del curs 19/20 que només esv realitzar l'enquesta al primer semestre.</t>
  </si>
  <si>
    <t xml:space="preserve"> S'ha fet la mitja entre els dos semestres a excepció del curs 19/20 que només es va fer l'enquesta al primer semestre. Curs 19/20 només es va fer l'enquesta al primer semestre. A conseqüència de la pandèmia Covid19.</t>
  </si>
  <si>
    <t xml:space="preserve"> (*) En data 2/04/2024 no tenim els resultats de l’enquesta de titulats i titulades que realitza AQU.</t>
  </si>
  <si>
    <t>Matemàtica Computacional i Analítica de dades</t>
  </si>
  <si>
    <t xml:space="preserve"> GRAUS</t>
  </si>
  <si>
    <t>Vaor objectriu graus</t>
  </si>
  <si>
    <t xml:space="preserve"> MÀSTERS</t>
  </si>
  <si>
    <t>Vaor objectriu Màsters</t>
  </si>
  <si>
    <t>% Compliment (M)</t>
  </si>
  <si>
    <t xml:space="preserve"> (*) En data 2/04/2024 no estan publicades els resultats de els enquestes de titulats i titulades que realitza AQU.</t>
  </si>
  <si>
    <t>% Compliment (G)</t>
  </si>
  <si>
    <t>Temps mitjà</t>
  </si>
  <si>
    <t xml:space="preserve"> (*) En data 2/04/2024 no tenim les dades de l’enquesta de titulats i titulades que realitza AQU.</t>
  </si>
  <si>
    <r>
      <t>M</t>
    </r>
    <r>
      <rPr>
        <sz val="9"/>
        <color rgb="FF000000"/>
        <rFont val="Times New Roman"/>
        <family val="1"/>
      </rPr>
      <t>atemàtica Computacional i Analítica de Dades</t>
    </r>
  </si>
  <si>
    <t xml:space="preserve"> 
(*) En data 2/04/2024 no tenim dades de l’enquesta de titulats i titulades que realitza AQU.</t>
  </si>
  <si>
    <t>Recursos Humans</t>
  </si>
  <si>
    <t>1.5</t>
  </si>
  <si>
    <t>Gestor Acadèmic</t>
  </si>
  <si>
    <t>Gestora de Programació Docent</t>
  </si>
  <si>
    <t xml:space="preserve"> Nombre mínim d’entitats col·laboradores en el marc de PE, per curs acadèmic i titulació</t>
  </si>
  <si>
    <t>Nombre de titulacions amb una valoració global superior o igual a 3 sobre 4 (Enquesta d’assignatures)</t>
  </si>
  <si>
    <t>Percentatge de propostes de modificació presentades a AQU que han obtingut l'avaluació favorable desglossades per curs acadèmic, per Grau i Màster.</t>
  </si>
  <si>
    <t>&lt;10</t>
  </si>
  <si>
    <t>15 dies hàbils</t>
  </si>
  <si>
    <r>
      <rPr>
        <sz val="7"/>
        <rFont val="Times New Roman"/>
        <family val="1"/>
      </rPr>
      <t xml:space="preserve"> </t>
    </r>
    <r>
      <rPr>
        <sz val="10"/>
        <rFont val="Century Gothic"/>
        <family val="2"/>
      </rPr>
      <t>Nombre d’informes d’avaluació retornats respecte del total rebuts</t>
    </r>
  </si>
  <si>
    <r>
      <rPr>
        <sz val="7"/>
        <rFont val="Times New Roman"/>
        <family val="1"/>
      </rPr>
      <t xml:space="preserve"> </t>
    </r>
    <r>
      <rPr>
        <sz val="10"/>
        <rFont val="Century Gothic"/>
        <family val="2"/>
      </rPr>
      <t>Número d'accions polítiques que s'han fet amb les coordinacions (Pla Estratègic 2022/2023 fins 2024/2025)</t>
    </r>
  </si>
  <si>
    <r>
      <t xml:space="preserve">Número de reunions fetes entre el Deganat i totes les direccions de Departament de la Facultat per ajudar al seguiment del Pla estratègic del nou equip de Deganat </t>
    </r>
    <r>
      <rPr>
        <strike/>
        <sz val="10"/>
        <rFont val="Century Gothic"/>
        <family val="2"/>
      </rPr>
      <t xml:space="preserve"> </t>
    </r>
    <r>
      <rPr>
        <sz val="10"/>
        <rFont val="Century Gothic"/>
        <family val="2"/>
      </rPr>
      <t>(2022/2023 a 2024/2025)</t>
    </r>
  </si>
  <si>
    <r>
      <rPr>
        <sz val="7"/>
        <rFont val="Times New Roman"/>
        <family val="1"/>
      </rPr>
      <t xml:space="preserve"> </t>
    </r>
    <r>
      <rPr>
        <sz val="10"/>
        <rFont val="Century Gothic"/>
        <family val="2"/>
      </rPr>
      <t xml:space="preserve">Import de la Despesa econòmica de la Facultat destinada a l’adquisició, renovació d’equipament dels laboratoris i altres necessitats docents. </t>
    </r>
  </si>
  <si>
    <t>Objectiu &lt;3</t>
  </si>
  <si>
    <t>Valor objectiu &lt;6</t>
  </si>
  <si>
    <t>Valor objectiu &lt;10</t>
  </si>
  <si>
    <t>Objectiu de Qualitat. Grups d'interès</t>
  </si>
  <si>
    <t>Objectiu de Qualitat. Organització i gestió de recursos</t>
  </si>
  <si>
    <t xml:space="preserve"> Objectiu de Qualitat. Qualitat dels programes formatius</t>
  </si>
  <si>
    <t>Objectiu de Qualitat. Qualitat dels programes formatius</t>
  </si>
  <si>
    <t>Objectiu de Qualitat. Cultura de Qualitat</t>
  </si>
  <si>
    <t>Objectiu de Qualitat. Millora Contínua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</si>
</sst>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€&quot;;[Red]\-#,##0\ &quot;€&quot;"/>
    <numFmt numFmtId="8" formatCode="#,##0.00\ &quot;€&quot;;[Red]\-#,##0.00\ &quot;€&quot;"/>
    <numFmt numFmtId="43" formatCode="_-* #,##0.00_-;\-* #,##0.00_-;_-* &quot;-&quot;??_-;_-@_-"/>
    <numFmt numFmtId="164" formatCode="0.000%"/>
    <numFmt numFmtId="165" formatCode="0.0%"/>
    <numFmt numFmtId="166" formatCode="#,##0.00\ &quot;€&quot;"/>
  </numFmts>
  <fonts count="105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i/>
      <sz val="9"/>
      <color rgb="FFFF0000"/>
      <name val="Arial"/>
      <family val="2"/>
      <scheme val="minor"/>
    </font>
    <font>
      <b/>
      <sz val="18"/>
      <color rgb="FFC00000"/>
      <name val="Verdana"/>
      <family val="2"/>
    </font>
    <font>
      <sz val="10"/>
      <color rgb="FF000000"/>
      <name val="Roboto"/>
    </font>
    <font>
      <b/>
      <sz val="10"/>
      <color rgb="FFFFFFFF"/>
      <name val="Roboto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Roboto"/>
    </font>
    <font>
      <sz val="10"/>
      <color theme="1"/>
      <name val="Roboto"/>
    </font>
    <font>
      <sz val="10"/>
      <color theme="1"/>
      <name val="Arial"/>
      <family val="2"/>
    </font>
    <font>
      <sz val="11"/>
      <color theme="1"/>
      <name val="Roboto"/>
    </font>
    <font>
      <b/>
      <sz val="16"/>
      <color theme="1"/>
      <name val="Roboto"/>
    </font>
    <font>
      <u/>
      <sz val="11"/>
      <color rgb="FF000000"/>
      <name val="Roboto"/>
    </font>
    <font>
      <sz val="10"/>
      <color rgb="FF222222"/>
      <name val="Arial"/>
      <family val="2"/>
    </font>
    <font>
      <sz val="9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rgb="FFFF0000"/>
      <name val="Arial"/>
      <family val="2"/>
    </font>
    <font>
      <sz val="10"/>
      <color rgb="FF000000"/>
      <name val="Century Gothic"/>
      <family val="2"/>
    </font>
    <font>
      <sz val="10"/>
      <color theme="1"/>
      <name val="Century Gothic"/>
      <family val="2"/>
    </font>
    <font>
      <u/>
      <sz val="10"/>
      <color theme="10"/>
      <name val="Arial"/>
      <family val="2"/>
      <scheme val="minor"/>
    </font>
    <font>
      <sz val="8"/>
      <name val="Arial"/>
      <family val="2"/>
      <scheme val="minor"/>
    </font>
    <font>
      <sz val="10"/>
      <name val="Arial"/>
      <family val="2"/>
      <scheme val="minor"/>
    </font>
    <font>
      <b/>
      <sz val="10"/>
      <color rgb="FF000000"/>
      <name val="Century Gothic"/>
      <family val="2"/>
    </font>
    <font>
      <sz val="11"/>
      <color rgb="FFFF0000"/>
      <name val="Roboto"/>
    </font>
    <font>
      <sz val="10"/>
      <color rgb="FFFF0000"/>
      <name val="Arial"/>
      <family val="2"/>
      <scheme val="minor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10"/>
      <color rgb="FFFF0000"/>
      <name val="Roboto"/>
    </font>
    <font>
      <sz val="10"/>
      <name val="Roboto"/>
    </font>
    <font>
      <b/>
      <sz val="11"/>
      <name val="Roboto"/>
    </font>
    <font>
      <b/>
      <sz val="10"/>
      <name val="Roboto"/>
    </font>
    <font>
      <sz val="9"/>
      <color rgb="FF000000"/>
      <name val="Century Gothic"/>
      <family val="2"/>
    </font>
    <font>
      <b/>
      <sz val="10"/>
      <color theme="5"/>
      <name val="Roboto"/>
    </font>
    <font>
      <b/>
      <sz val="9"/>
      <color rgb="FF000000"/>
      <name val="Century Gothic"/>
      <family val="2"/>
    </font>
    <font>
      <sz val="10"/>
      <name val="Century Gothic"/>
      <family val="2"/>
    </font>
    <font>
      <sz val="8"/>
      <color rgb="FF000000"/>
      <name val="Century Gothic"/>
      <family val="2"/>
    </font>
    <font>
      <sz val="11"/>
      <name val="Roboto"/>
    </font>
    <font>
      <b/>
      <sz val="8"/>
      <color rgb="FF000000"/>
      <name val="Century Gothic"/>
      <family val="2"/>
    </font>
    <font>
      <sz val="9"/>
      <name val="Century Gothic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10"/>
      <color rgb="FF222222"/>
      <name val="Century Gothic"/>
      <family val="2"/>
    </font>
    <font>
      <b/>
      <sz val="10"/>
      <name val="Century Gothic"/>
      <family val="2"/>
    </font>
    <font>
      <sz val="9"/>
      <name val="Arial"/>
      <family val="2"/>
    </font>
    <font>
      <u/>
      <sz val="10"/>
      <name val="Century Gothic"/>
      <family val="2"/>
    </font>
    <font>
      <b/>
      <sz val="10"/>
      <name val="Arial"/>
      <family val="2"/>
      <scheme val="minor"/>
    </font>
    <font>
      <b/>
      <sz val="18"/>
      <name val="Verdana"/>
      <family val="2"/>
    </font>
    <font>
      <sz val="11"/>
      <color theme="4"/>
      <name val="Roboto"/>
    </font>
    <font>
      <b/>
      <sz val="12"/>
      <name val="Century Gothic"/>
      <family val="2"/>
    </font>
    <font>
      <b/>
      <sz val="12"/>
      <color rgb="FF000000"/>
      <name val="Century Gothic"/>
      <family val="2"/>
    </font>
    <font>
      <sz val="12"/>
      <color theme="1"/>
      <name val="Century Gothic"/>
      <family val="2"/>
    </font>
    <font>
      <sz val="12"/>
      <color rgb="FF000000"/>
      <name val="Century Gothic"/>
      <family val="2"/>
    </font>
    <font>
      <sz val="28"/>
      <color rgb="FF000000"/>
      <name val="Century Gothic"/>
      <family val="2"/>
    </font>
    <font>
      <b/>
      <sz val="10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Roboto"/>
    </font>
    <font>
      <b/>
      <sz val="10"/>
      <color rgb="FFFF0000"/>
      <name val="Century Gothic"/>
      <family val="2"/>
    </font>
    <font>
      <sz val="9"/>
      <color theme="1"/>
      <name val="Century Gothic"/>
      <family val="2"/>
    </font>
    <font>
      <sz val="9"/>
      <color rgb="FFFF0000"/>
      <name val="Arial"/>
      <family val="2"/>
    </font>
    <font>
      <sz val="9"/>
      <color theme="9" tint="-0.249977111117893"/>
      <name val="Arial"/>
      <family val="2"/>
    </font>
    <font>
      <sz val="10"/>
      <color theme="9" tint="-0.249977111117893"/>
      <name val="Arial"/>
      <family val="2"/>
      <scheme val="minor"/>
    </font>
    <font>
      <sz val="10"/>
      <color rgb="FF000000"/>
      <name val="Symbol"/>
      <family val="1"/>
      <charset val="2"/>
    </font>
    <font>
      <sz val="10"/>
      <color rgb="FF000000"/>
      <name val="Arial"/>
      <family val="2"/>
      <scheme val="minor"/>
    </font>
    <font>
      <b/>
      <sz val="8"/>
      <color rgb="FF444649"/>
      <name val="Arial"/>
      <family val="2"/>
    </font>
    <font>
      <sz val="8"/>
      <color rgb="FF444649"/>
      <name val="Arial"/>
      <family val="2"/>
    </font>
    <font>
      <sz val="10"/>
      <color theme="3"/>
      <name val="Century Gothic"/>
      <family val="2"/>
    </font>
    <font>
      <sz val="9"/>
      <color theme="9" tint="0.39997558519241921"/>
      <name val="Arial"/>
      <family val="2"/>
    </font>
    <font>
      <sz val="10"/>
      <color theme="9" tint="0.39997558519241921"/>
      <name val="Arial"/>
      <family val="2"/>
      <scheme val="minor"/>
    </font>
    <font>
      <sz val="10"/>
      <name val="Calibri"/>
      <family val="2"/>
    </font>
    <font>
      <b/>
      <sz val="9"/>
      <name val="Century Gothic"/>
      <family val="2"/>
    </font>
    <font>
      <sz val="8"/>
      <name val="Times New Roman"/>
      <family val="1"/>
    </font>
    <font>
      <sz val="12"/>
      <name val="Times New Roman"/>
      <family val="1"/>
    </font>
    <font>
      <sz val="9"/>
      <color rgb="FF000000"/>
      <name val="Times New Roman"/>
      <family val="1"/>
    </font>
    <font>
      <i/>
      <sz val="9"/>
      <color rgb="FFFF0000"/>
      <name val="Century Gothic"/>
      <family val="2"/>
    </font>
    <font>
      <b/>
      <sz val="18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b/>
      <sz val="16"/>
      <color theme="1"/>
      <name val="Century Gothic"/>
      <family val="2"/>
    </font>
    <font>
      <sz val="11"/>
      <name val="Century Gothic"/>
      <family val="2"/>
    </font>
    <font>
      <i/>
      <sz val="9"/>
      <name val="Century Gothic"/>
      <family val="2"/>
    </font>
    <font>
      <b/>
      <sz val="11"/>
      <name val="Century Gothic"/>
      <family val="2"/>
    </font>
    <font>
      <u/>
      <sz val="11"/>
      <name val="Century Gothic"/>
      <family val="2"/>
    </font>
    <font>
      <b/>
      <sz val="10"/>
      <color rgb="FFFFFFFF"/>
      <name val="Century Gothic"/>
      <family val="2"/>
    </font>
    <font>
      <sz val="12"/>
      <color theme="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rgb="FFFF0000"/>
      <name val="Century Gothic"/>
      <family val="2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444649"/>
      <name val="Arial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  <scheme val="minor"/>
    </font>
    <font>
      <b/>
      <sz val="12"/>
      <color theme="1"/>
      <name val="Century Gothic"/>
      <family val="2"/>
    </font>
    <font>
      <sz val="10"/>
      <name val="Symbol"/>
      <family val="1"/>
      <charset val="2"/>
    </font>
    <font>
      <sz val="7"/>
      <name val="Times New Roman"/>
      <family val="1"/>
    </font>
    <font>
      <strike/>
      <sz val="10"/>
      <name val="Century Gothic"/>
      <family val="2"/>
    </font>
    <font>
      <sz val="10"/>
      <name val="Wingdings"/>
      <family val="1"/>
      <charset val="2"/>
    </font>
  </fonts>
  <fills count="3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rgb="FF990000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/>
        <bgColor rgb="FF990000"/>
      </patternFill>
    </fill>
    <fill>
      <patternFill patternType="solid">
        <fgColor rgb="FFF7CAAC"/>
        <bgColor indexed="6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F4B083"/>
        <bgColor indexed="64"/>
      </patternFill>
    </fill>
    <fill>
      <patternFill patternType="solid">
        <fgColor rgb="FFF1960F"/>
        <bgColor indexed="64"/>
      </patternFill>
    </fill>
    <fill>
      <patternFill patternType="solid">
        <fgColor rgb="FFDAE9F8"/>
        <bgColor indexed="64"/>
      </patternFill>
    </fill>
    <fill>
      <patternFill patternType="solid">
        <fgColor rgb="FFF7C7AC"/>
        <bgColor indexed="64"/>
      </patternFill>
    </fill>
    <fill>
      <patternFill patternType="solid">
        <fgColor rgb="FF83E28E"/>
        <bgColor indexed="64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4" fillId="0" borderId="0" applyNumberFormat="0" applyFill="0" applyBorder="0" applyAlignment="0" applyProtection="0"/>
    <xf numFmtId="9" fontId="20" fillId="0" borderId="0" applyFont="0" applyFill="0" applyBorder="0" applyAlignment="0" applyProtection="0"/>
    <xf numFmtId="43" fontId="67" fillId="0" borderId="0" applyFont="0" applyFill="0" applyBorder="0" applyAlignment="0" applyProtection="0"/>
  </cellStyleXfs>
  <cellXfs count="892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0" xfId="0" applyFont="1"/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22" fillId="0" borderId="17" xfId="0" applyFont="1" applyBorder="1" applyAlignment="1">
      <alignment horizontal="center" vertical="center" wrapText="1"/>
    </xf>
    <xf numFmtId="0" fontId="29" fillId="0" borderId="0" xfId="0" applyFont="1"/>
    <xf numFmtId="0" fontId="4" fillId="0" borderId="14" xfId="0" applyFont="1" applyBorder="1"/>
    <xf numFmtId="0" fontId="4" fillId="0" borderId="0" xfId="0" applyFont="1"/>
    <xf numFmtId="0" fontId="9" fillId="0" borderId="0" xfId="0" applyFont="1" applyAlignment="1">
      <alignment horizontal="left" vertical="center"/>
    </xf>
    <xf numFmtId="0" fontId="22" fillId="0" borderId="16" xfId="0" applyFont="1" applyBorder="1" applyAlignment="1">
      <alignment horizontal="center" vertical="center" wrapText="1"/>
    </xf>
    <xf numFmtId="0" fontId="33" fillId="0" borderId="0" xfId="0" applyFont="1"/>
    <xf numFmtId="0" fontId="0" fillId="0" borderId="14" xfId="0" applyBorder="1"/>
    <xf numFmtId="9" fontId="22" fillId="0" borderId="0" xfId="0" applyNumberFormat="1" applyFont="1" applyAlignment="1">
      <alignment vertical="center" wrapText="1"/>
    </xf>
    <xf numFmtId="0" fontId="0" fillId="0" borderId="15" xfId="0" applyBorder="1"/>
    <xf numFmtId="0" fontId="37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10" fontId="22" fillId="0" borderId="0" xfId="0" applyNumberFormat="1" applyFont="1" applyAlignment="1">
      <alignment horizontal="center" vertical="center" wrapText="1"/>
    </xf>
    <xf numFmtId="9" fontId="22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33" fillId="0" borderId="0" xfId="0" applyFont="1" applyAlignment="1">
      <alignment vertical="center"/>
    </xf>
    <xf numFmtId="10" fontId="33" fillId="0" borderId="0" xfId="2" applyNumberFormat="1" applyFont="1" applyFill="1" applyBorder="1" applyAlignment="1">
      <alignment vertical="center"/>
    </xf>
    <xf numFmtId="0" fontId="39" fillId="0" borderId="14" xfId="0" applyFont="1" applyBorder="1" applyAlignment="1">
      <alignment horizontal="center" vertical="center" wrapText="1"/>
    </xf>
    <xf numFmtId="9" fontId="22" fillId="0" borderId="0" xfId="0" applyNumberFormat="1" applyFont="1" applyAlignment="1">
      <alignment horizontal="center" vertical="center"/>
    </xf>
    <xf numFmtId="0" fontId="36" fillId="0" borderId="0" xfId="0" applyFont="1" applyAlignment="1">
      <alignment vertical="center" wrapText="1"/>
    </xf>
    <xf numFmtId="0" fontId="35" fillId="0" borderId="0" xfId="0" applyFont="1" applyAlignment="1">
      <alignment vertical="center"/>
    </xf>
    <xf numFmtId="0" fontId="36" fillId="0" borderId="14" xfId="0" applyFont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0" fontId="20" fillId="0" borderId="14" xfId="0" applyFont="1" applyBorder="1"/>
    <xf numFmtId="0" fontId="36" fillId="0" borderId="0" xfId="0" applyFont="1"/>
    <xf numFmtId="0" fontId="36" fillId="0" borderId="14" xfId="0" applyFont="1" applyBorder="1" applyAlignment="1">
      <alignment horizontal="center" vertical="center"/>
    </xf>
    <xf numFmtId="0" fontId="30" fillId="0" borderId="14" xfId="0" applyFont="1" applyBorder="1" applyAlignment="1">
      <alignment vertical="center"/>
    </xf>
    <xf numFmtId="10" fontId="36" fillId="0" borderId="14" xfId="0" applyNumberFormat="1" applyFont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10" fontId="36" fillId="0" borderId="14" xfId="0" applyNumberFormat="1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2" fillId="0" borderId="14" xfId="0" applyFont="1" applyBorder="1" applyAlignment="1">
      <alignment horizontal="center" vertical="center" wrapText="1"/>
    </xf>
    <xf numFmtId="0" fontId="35" fillId="2" borderId="1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0" fontId="33" fillId="0" borderId="14" xfId="2" applyNumberFormat="1" applyFont="1" applyBorder="1" applyAlignment="1">
      <alignment vertical="center"/>
    </xf>
    <xf numFmtId="10" fontId="33" fillId="0" borderId="0" xfId="2" applyNumberFormat="1" applyFont="1" applyAlignment="1">
      <alignment vertical="center"/>
    </xf>
    <xf numFmtId="0" fontId="0" fillId="0" borderId="14" xfId="0" applyBorder="1" applyAlignment="1">
      <alignment horizontal="center"/>
    </xf>
    <xf numFmtId="0" fontId="20" fillId="0" borderId="14" xfId="0" applyFont="1" applyBorder="1" applyAlignment="1">
      <alignment horizontal="center"/>
    </xf>
    <xf numFmtId="10" fontId="33" fillId="0" borderId="14" xfId="2" applyNumberFormat="1" applyFont="1" applyBorder="1" applyAlignment="1">
      <alignment horizontal="center" vertical="center"/>
    </xf>
    <xf numFmtId="0" fontId="22" fillId="0" borderId="14" xfId="0" applyFont="1" applyBorder="1" applyAlignment="1">
      <alignment horizontal="center"/>
    </xf>
    <xf numFmtId="9" fontId="39" fillId="0" borderId="14" xfId="0" applyNumberFormat="1" applyFont="1" applyBorder="1" applyAlignment="1">
      <alignment horizontal="center" vertical="center" wrapText="1"/>
    </xf>
    <xf numFmtId="10" fontId="4" fillId="0" borderId="0" xfId="0" applyNumberFormat="1" applyFont="1" applyAlignment="1">
      <alignment vertical="center"/>
    </xf>
    <xf numFmtId="0" fontId="31" fillId="0" borderId="14" xfId="0" applyFont="1" applyBorder="1" applyAlignment="1">
      <alignment horizontal="center" vertical="center" wrapText="1"/>
    </xf>
    <xf numFmtId="9" fontId="36" fillId="0" borderId="14" xfId="0" applyNumberFormat="1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/>
    </xf>
    <xf numFmtId="10" fontId="39" fillId="0" borderId="14" xfId="2" applyNumberFormat="1" applyFont="1" applyBorder="1" applyAlignment="1">
      <alignment horizontal="center" vertical="center"/>
    </xf>
    <xf numFmtId="9" fontId="22" fillId="5" borderId="14" xfId="0" applyNumberFormat="1" applyFont="1" applyFill="1" applyBorder="1" applyAlignment="1">
      <alignment horizontal="center" vertical="center"/>
    </xf>
    <xf numFmtId="2" fontId="39" fillId="0" borderId="14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8" fillId="3" borderId="10" xfId="0" applyFont="1" applyFill="1" applyBorder="1" applyAlignment="1">
      <alignment vertical="center" wrapText="1"/>
    </xf>
    <xf numFmtId="9" fontId="22" fillId="0" borderId="14" xfId="0" applyNumberFormat="1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10" fontId="39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35" fillId="11" borderId="10" xfId="0" applyFont="1" applyFill="1" applyBorder="1" applyAlignment="1">
      <alignment horizontal="left" vertical="center"/>
    </xf>
    <xf numFmtId="0" fontId="50" fillId="11" borderId="10" xfId="0" applyFont="1" applyFill="1" applyBorder="1" applyAlignment="1">
      <alignment horizontal="left" vertical="center" wrapText="1"/>
    </xf>
    <xf numFmtId="0" fontId="38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2" fontId="4" fillId="0" borderId="14" xfId="0" applyNumberFormat="1" applyFont="1" applyBorder="1" applyAlignment="1">
      <alignment vertical="center"/>
    </xf>
    <xf numFmtId="10" fontId="22" fillId="0" borderId="14" xfId="0" applyNumberFormat="1" applyFont="1" applyBorder="1" applyAlignment="1">
      <alignment horizontal="center" vertical="center" wrapText="1"/>
    </xf>
    <xf numFmtId="10" fontId="22" fillId="0" borderId="24" xfId="0" applyNumberFormat="1" applyFont="1" applyBorder="1" applyAlignment="1">
      <alignment horizontal="center" vertical="center" wrapText="1"/>
    </xf>
    <xf numFmtId="10" fontId="4" fillId="0" borderId="14" xfId="0" applyNumberFormat="1" applyFont="1" applyBorder="1" applyAlignment="1">
      <alignment vertical="center"/>
    </xf>
    <xf numFmtId="1" fontId="0" fillId="0" borderId="14" xfId="2" applyNumberFormat="1" applyFont="1" applyBorder="1"/>
    <xf numFmtId="0" fontId="20" fillId="13" borderId="14" xfId="0" applyFont="1" applyFill="1" applyBorder="1"/>
    <xf numFmtId="0" fontId="0" fillId="13" borderId="14" xfId="0" applyFill="1" applyBorder="1"/>
    <xf numFmtId="0" fontId="36" fillId="0" borderId="24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53" fillId="11" borderId="13" xfId="0" applyFont="1" applyFill="1" applyBorder="1" applyAlignment="1">
      <alignment horizontal="center" vertical="center" wrapText="1"/>
    </xf>
    <xf numFmtId="0" fontId="53" fillId="11" borderId="13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 wrapText="1"/>
    </xf>
    <xf numFmtId="0" fontId="27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6" fillId="0" borderId="0" xfId="0" applyFont="1" applyAlignment="1">
      <alignment horizontal="center" wrapText="1"/>
    </xf>
    <xf numFmtId="0" fontId="23" fillId="0" borderId="0" xfId="0" applyFont="1" applyAlignment="1">
      <alignment horizontal="left" vertical="center" wrapText="1"/>
    </xf>
    <xf numFmtId="0" fontId="53" fillId="11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36" fillId="5" borderId="14" xfId="0" applyFont="1" applyFill="1" applyBorder="1" applyAlignment="1">
      <alignment horizontal="center" vertical="center" wrapText="1"/>
    </xf>
    <xf numFmtId="164" fontId="22" fillId="0" borderId="14" xfId="0" applyNumberFormat="1" applyFont="1" applyBorder="1" applyAlignment="1">
      <alignment horizontal="center" vertical="center" wrapText="1"/>
    </xf>
    <xf numFmtId="0" fontId="38" fillId="4" borderId="14" xfId="0" applyFont="1" applyFill="1" applyBorder="1" applyAlignment="1">
      <alignment horizontal="center" vertical="center" wrapText="1"/>
    </xf>
    <xf numFmtId="0" fontId="22" fillId="5" borderId="14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9" fontId="22" fillId="0" borderId="14" xfId="0" applyNumberFormat="1" applyFont="1" applyBorder="1" applyAlignment="1">
      <alignment horizontal="center" vertical="center"/>
    </xf>
    <xf numFmtId="10" fontId="22" fillId="0" borderId="14" xfId="0" applyNumberFormat="1" applyFont="1" applyBorder="1" applyAlignment="1">
      <alignment horizontal="center" vertical="center"/>
    </xf>
    <xf numFmtId="2" fontId="22" fillId="0" borderId="14" xfId="0" applyNumberFormat="1" applyFont="1" applyBorder="1" applyAlignment="1">
      <alignment horizontal="center" vertical="center" wrapText="1"/>
    </xf>
    <xf numFmtId="2" fontId="22" fillId="0" borderId="14" xfId="0" applyNumberFormat="1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27" fillId="4" borderId="14" xfId="0" applyFont="1" applyFill="1" applyBorder="1" applyAlignment="1">
      <alignment horizontal="center" vertical="center" wrapText="1"/>
    </xf>
    <xf numFmtId="0" fontId="47" fillId="2" borderId="14" xfId="0" applyFont="1" applyFill="1" applyBorder="1" applyAlignment="1">
      <alignment horizontal="center" vertical="center" wrapText="1"/>
    </xf>
    <xf numFmtId="0" fontId="27" fillId="4" borderId="24" xfId="0" applyFont="1" applyFill="1" applyBorder="1" applyAlignment="1">
      <alignment horizontal="center" vertical="center" wrapText="1"/>
    </xf>
    <xf numFmtId="9" fontId="39" fillId="0" borderId="14" xfId="2" applyFont="1" applyBorder="1" applyAlignment="1">
      <alignment horizontal="center" vertical="center"/>
    </xf>
    <xf numFmtId="0" fontId="4" fillId="0" borderId="21" xfId="0" applyFont="1" applyBorder="1"/>
    <xf numFmtId="0" fontId="0" fillId="0" borderId="31" xfId="0" applyBorder="1"/>
    <xf numFmtId="0" fontId="22" fillId="5" borderId="14" xfId="0" applyFont="1" applyFill="1" applyBorder="1" applyAlignment="1">
      <alignment horizontal="center" vertical="center"/>
    </xf>
    <xf numFmtId="0" fontId="38" fillId="4" borderId="24" xfId="0" applyFont="1" applyFill="1" applyBorder="1" applyAlignment="1">
      <alignment horizontal="center" vertical="center" wrapText="1"/>
    </xf>
    <xf numFmtId="2" fontId="40" fillId="5" borderId="14" xfId="0" applyNumberFormat="1" applyFont="1" applyFill="1" applyBorder="1" applyAlignment="1">
      <alignment horizontal="center" vertical="center"/>
    </xf>
    <xf numFmtId="0" fontId="4" fillId="0" borderId="19" xfId="0" applyFont="1" applyBorder="1"/>
    <xf numFmtId="0" fontId="22" fillId="0" borderId="24" xfId="0" applyFont="1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33" xfId="0" applyBorder="1"/>
    <xf numFmtId="0" fontId="4" fillId="0" borderId="32" xfId="0" applyFont="1" applyBorder="1"/>
    <xf numFmtId="0" fontId="0" fillId="0" borderId="30" xfId="0" applyBorder="1"/>
    <xf numFmtId="0" fontId="35" fillId="2" borderId="14" xfId="0" applyFont="1" applyFill="1" applyBorder="1" applyAlignment="1">
      <alignment horizontal="left" vertical="center"/>
    </xf>
    <xf numFmtId="0" fontId="44" fillId="0" borderId="14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  <xf numFmtId="0" fontId="35" fillId="2" borderId="19" xfId="0" applyFont="1" applyFill="1" applyBorder="1" applyAlignment="1">
      <alignment vertical="center"/>
    </xf>
    <xf numFmtId="0" fontId="11" fillId="11" borderId="10" xfId="0" applyFont="1" applyFill="1" applyBorder="1" applyAlignment="1">
      <alignment horizontal="left" vertical="center" wrapText="1"/>
    </xf>
    <xf numFmtId="9" fontId="22" fillId="0" borderId="19" xfId="0" applyNumberFormat="1" applyFont="1" applyBorder="1" applyAlignment="1">
      <alignment horizontal="center" vertical="center" wrapText="1"/>
    </xf>
    <xf numFmtId="9" fontId="39" fillId="0" borderId="14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0" borderId="0" xfId="0" applyFont="1"/>
    <xf numFmtId="0" fontId="4" fillId="0" borderId="24" xfId="0" applyFont="1" applyBorder="1"/>
    <xf numFmtId="9" fontId="22" fillId="0" borderId="24" xfId="0" applyNumberFormat="1" applyFont="1" applyBorder="1" applyAlignment="1">
      <alignment horizontal="center" vertical="center" wrapText="1"/>
    </xf>
    <xf numFmtId="0" fontId="0" fillId="0" borderId="34" xfId="0" applyBorder="1"/>
    <xf numFmtId="0" fontId="0" fillId="14" borderId="14" xfId="0" applyFill="1" applyBorder="1"/>
    <xf numFmtId="9" fontId="8" fillId="3" borderId="10" xfId="0" applyNumberFormat="1" applyFont="1" applyFill="1" applyBorder="1" applyAlignment="1">
      <alignment horizontal="left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21" xfId="0" applyBorder="1"/>
    <xf numFmtId="0" fontId="22" fillId="0" borderId="35" xfId="0" applyFont="1" applyBorder="1" applyAlignment="1">
      <alignment horizontal="center" vertical="center" wrapText="1"/>
    </xf>
    <xf numFmtId="9" fontId="4" fillId="0" borderId="14" xfId="0" applyNumberFormat="1" applyFont="1" applyBorder="1"/>
    <xf numFmtId="0" fontId="22" fillId="18" borderId="35" xfId="0" applyFont="1" applyFill="1" applyBorder="1" applyAlignment="1">
      <alignment horizontal="center" vertical="center" wrapText="1"/>
    </xf>
    <xf numFmtId="0" fontId="62" fillId="17" borderId="14" xfId="0" applyFont="1" applyFill="1" applyBorder="1" applyAlignment="1">
      <alignment horizontal="center" vertical="center" wrapText="1"/>
    </xf>
    <xf numFmtId="9" fontId="36" fillId="0" borderId="14" xfId="0" applyNumberFormat="1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9" fontId="36" fillId="0" borderId="14" xfId="2" applyFont="1" applyBorder="1" applyAlignment="1">
      <alignment horizontal="center" vertical="center"/>
    </xf>
    <xf numFmtId="0" fontId="21" fillId="0" borderId="0" xfId="0" applyFont="1"/>
    <xf numFmtId="10" fontId="43" fillId="0" borderId="21" xfId="0" applyNumberFormat="1" applyFont="1" applyBorder="1" applyAlignment="1">
      <alignment horizontal="center" vertical="center" wrapText="1"/>
    </xf>
    <xf numFmtId="0" fontId="26" fillId="0" borderId="0" xfId="0" applyFont="1"/>
    <xf numFmtId="0" fontId="22" fillId="0" borderId="24" xfId="0" applyFont="1" applyBorder="1" applyAlignment="1">
      <alignment horizontal="center" vertical="center" wrapText="1"/>
    </xf>
    <xf numFmtId="0" fontId="35" fillId="11" borderId="11" xfId="0" applyFont="1" applyFill="1" applyBorder="1" applyAlignment="1">
      <alignment horizontal="left" vertical="center"/>
    </xf>
    <xf numFmtId="0" fontId="4" fillId="7" borderId="12" xfId="0" applyFont="1" applyFill="1" applyBorder="1"/>
    <xf numFmtId="0" fontId="4" fillId="7" borderId="11" xfId="0" applyFont="1" applyFill="1" applyBorder="1"/>
    <xf numFmtId="0" fontId="21" fillId="0" borderId="4" xfId="0" applyFont="1" applyBorder="1"/>
    <xf numFmtId="0" fontId="21" fillId="0" borderId="6" xfId="0" applyFont="1" applyBorder="1"/>
    <xf numFmtId="9" fontId="18" fillId="0" borderId="0" xfId="0" applyNumberFormat="1" applyFont="1"/>
    <xf numFmtId="9" fontId="4" fillId="0" borderId="14" xfId="0" applyNumberFormat="1" applyFont="1" applyBorder="1" applyAlignment="1">
      <alignment vertical="center"/>
    </xf>
    <xf numFmtId="0" fontId="61" fillId="0" borderId="0" xfId="0" applyFont="1" applyAlignment="1">
      <alignment horizontal="center" vertical="center" wrapText="1"/>
    </xf>
    <xf numFmtId="0" fontId="41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4" fillId="0" borderId="4" xfId="0" applyFont="1" applyBorder="1"/>
    <xf numFmtId="0" fontId="14" fillId="0" borderId="6" xfId="0" applyFont="1" applyBorder="1"/>
    <xf numFmtId="2" fontId="18" fillId="6" borderId="14" xfId="0" applyNumberFormat="1" applyFont="1" applyFill="1" applyBorder="1" applyAlignment="1">
      <alignment horizontal="center"/>
    </xf>
    <xf numFmtId="0" fontId="15" fillId="0" borderId="14" xfId="0" applyFont="1" applyBorder="1"/>
    <xf numFmtId="0" fontId="38" fillId="21" borderId="18" xfId="0" applyFont="1" applyFill="1" applyBorder="1" applyAlignment="1">
      <alignment horizontal="center" vertical="center" wrapText="1"/>
    </xf>
    <xf numFmtId="0" fontId="36" fillId="0" borderId="35" xfId="0" applyFont="1" applyBorder="1" applyAlignment="1">
      <alignment horizontal="center" vertical="center"/>
    </xf>
    <xf numFmtId="0" fontId="36" fillId="0" borderId="47" xfId="0" applyFont="1" applyBorder="1" applyAlignment="1">
      <alignment horizontal="center" vertical="center"/>
    </xf>
    <xf numFmtId="9" fontId="36" fillId="0" borderId="47" xfId="0" applyNumberFormat="1" applyFont="1" applyBorder="1" applyAlignment="1">
      <alignment horizontal="center" vertical="center"/>
    </xf>
    <xf numFmtId="0" fontId="38" fillId="21" borderId="48" xfId="0" applyFont="1" applyFill="1" applyBorder="1" applyAlignment="1">
      <alignment horizontal="center" vertical="center" wrapText="1"/>
    </xf>
    <xf numFmtId="0" fontId="36" fillId="0" borderId="39" xfId="0" applyFont="1" applyBorder="1" applyAlignment="1">
      <alignment horizontal="center" vertical="center"/>
    </xf>
    <xf numFmtId="0" fontId="36" fillId="0" borderId="49" xfId="0" applyFont="1" applyBorder="1" applyAlignment="1">
      <alignment horizontal="center" vertical="center"/>
    </xf>
    <xf numFmtId="9" fontId="36" fillId="0" borderId="49" xfId="0" applyNumberFormat="1" applyFont="1" applyBorder="1" applyAlignment="1">
      <alignment horizontal="center" vertical="center"/>
    </xf>
    <xf numFmtId="0" fontId="38" fillId="21" borderId="14" xfId="0" applyFont="1" applyFill="1" applyBorder="1" applyAlignment="1">
      <alignment horizontal="center" vertical="center" wrapText="1"/>
    </xf>
    <xf numFmtId="0" fontId="38" fillId="0" borderId="35" xfId="0" applyFont="1" applyBorder="1" applyAlignment="1">
      <alignment horizontal="center" vertical="center" wrapText="1"/>
    </xf>
    <xf numFmtId="0" fontId="38" fillId="4" borderId="18" xfId="0" applyFont="1" applyFill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35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66" fillId="0" borderId="0" xfId="0" applyFont="1" applyAlignment="1">
      <alignment horizontal="justify" vertical="center"/>
    </xf>
    <xf numFmtId="0" fontId="4" fillId="0" borderId="4" xfId="0" applyFont="1" applyBorder="1"/>
    <xf numFmtId="0" fontId="35" fillId="11" borderId="6" xfId="0" applyFont="1" applyFill="1" applyBorder="1" applyAlignment="1">
      <alignment horizontal="left" vertical="center"/>
    </xf>
    <xf numFmtId="0" fontId="4" fillId="7" borderId="8" xfId="0" applyFont="1" applyFill="1" applyBorder="1"/>
    <xf numFmtId="0" fontId="35" fillId="0" borderId="0" xfId="0" applyFont="1" applyAlignment="1">
      <alignment horizontal="left" vertical="center"/>
    </xf>
    <xf numFmtId="9" fontId="18" fillId="6" borderId="14" xfId="0" applyNumberFormat="1" applyFont="1" applyFill="1" applyBorder="1"/>
    <xf numFmtId="0" fontId="39" fillId="0" borderId="14" xfId="0" applyFont="1" applyBorder="1" applyAlignment="1">
      <alignment horizontal="center" vertical="center"/>
    </xf>
    <xf numFmtId="0" fontId="31" fillId="0" borderId="0" xfId="0" applyFont="1" applyAlignment="1">
      <alignment vertical="center" wrapText="1"/>
    </xf>
    <xf numFmtId="0" fontId="27" fillId="4" borderId="16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center" vertical="center" wrapText="1"/>
    </xf>
    <xf numFmtId="0" fontId="22" fillId="22" borderId="35" xfId="0" applyFont="1" applyFill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left" vertical="top" wrapText="1"/>
    </xf>
    <xf numFmtId="0" fontId="12" fillId="21" borderId="14" xfId="0" applyFont="1" applyFill="1" applyBorder="1" applyAlignment="1">
      <alignment vertical="center" wrapText="1"/>
    </xf>
    <xf numFmtId="0" fontId="42" fillId="0" borderId="0" xfId="0" applyFont="1" applyAlignment="1">
      <alignment vertical="center" wrapText="1"/>
    </xf>
    <xf numFmtId="0" fontId="68" fillId="23" borderId="14" xfId="0" applyFont="1" applyFill="1" applyBorder="1" applyAlignment="1">
      <alignment horizontal="center" vertical="center" wrapText="1"/>
    </xf>
    <xf numFmtId="0" fontId="69" fillId="5" borderId="14" xfId="0" applyFont="1" applyFill="1" applyBorder="1" applyAlignment="1">
      <alignment horizontal="center" vertical="center" wrapText="1"/>
    </xf>
    <xf numFmtId="0" fontId="68" fillId="0" borderId="14" xfId="0" applyFont="1" applyBorder="1" applyAlignment="1">
      <alignment horizontal="center" vertical="center" wrapText="1"/>
    </xf>
    <xf numFmtId="0" fontId="68" fillId="7" borderId="14" xfId="0" applyFont="1" applyFill="1" applyBorder="1" applyAlignment="1">
      <alignment horizontal="center" vertical="center" wrapText="1"/>
    </xf>
    <xf numFmtId="10" fontId="4" fillId="7" borderId="14" xfId="0" applyNumberFormat="1" applyFont="1" applyFill="1" applyBorder="1"/>
    <xf numFmtId="0" fontId="68" fillId="0" borderId="0" xfId="0" applyFont="1" applyAlignment="1">
      <alignment horizontal="center" vertical="center" wrapText="1"/>
    </xf>
    <xf numFmtId="0" fontId="69" fillId="0" borderId="0" xfId="0" applyFont="1" applyAlignment="1">
      <alignment horizontal="center" vertical="center" wrapText="1"/>
    </xf>
    <xf numFmtId="10" fontId="4" fillId="0" borderId="0" xfId="0" applyNumberFormat="1" applyFont="1"/>
    <xf numFmtId="0" fontId="39" fillId="0" borderId="14" xfId="0" applyFont="1" applyBorder="1" applyAlignment="1">
      <alignment horizontal="center"/>
    </xf>
    <xf numFmtId="0" fontId="39" fillId="0" borderId="14" xfId="0" applyFont="1" applyBorder="1" applyAlignment="1">
      <alignment vertical="center" wrapText="1"/>
    </xf>
    <xf numFmtId="9" fontId="43" fillId="0" borderId="14" xfId="0" applyNumberFormat="1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0" fontId="38" fillId="4" borderId="16" xfId="0" applyFont="1" applyFill="1" applyBorder="1" applyAlignment="1">
      <alignment horizontal="center" vertical="center" wrapText="1"/>
    </xf>
    <xf numFmtId="0" fontId="36" fillId="0" borderId="53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/>
    </xf>
    <xf numFmtId="2" fontId="39" fillId="0" borderId="14" xfId="2" applyNumberFormat="1" applyFont="1" applyBorder="1" applyAlignment="1">
      <alignment horizontal="center" vertical="center"/>
    </xf>
    <xf numFmtId="2" fontId="39" fillId="0" borderId="14" xfId="3" applyNumberFormat="1" applyFont="1" applyBorder="1" applyAlignment="1">
      <alignment horizontal="center" vertical="center"/>
    </xf>
    <xf numFmtId="9" fontId="39" fillId="24" borderId="14" xfId="0" applyNumberFormat="1" applyFont="1" applyFill="1" applyBorder="1" applyAlignment="1">
      <alignment horizontal="center" vertical="center"/>
    </xf>
    <xf numFmtId="9" fontId="70" fillId="5" borderId="14" xfId="0" applyNumberFormat="1" applyFont="1" applyFill="1" applyBorder="1" applyAlignment="1">
      <alignment horizontal="center" vertical="center"/>
    </xf>
    <xf numFmtId="0" fontId="36" fillId="0" borderId="16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5" fillId="11" borderId="12" xfId="0" applyFont="1" applyFill="1" applyBorder="1" applyAlignment="1">
      <alignment horizontal="left" vertical="center"/>
    </xf>
    <xf numFmtId="0" fontId="35" fillId="28" borderId="14" xfId="0" applyFont="1" applyFill="1" applyBorder="1" applyAlignment="1">
      <alignment vertical="center"/>
    </xf>
    <xf numFmtId="9" fontId="4" fillId="25" borderId="14" xfId="0" applyNumberFormat="1" applyFont="1" applyFill="1" applyBorder="1"/>
    <xf numFmtId="0" fontId="22" fillId="25" borderId="14" xfId="0" applyFont="1" applyFill="1" applyBorder="1" applyAlignment="1">
      <alignment horizontal="center" vertical="center" wrapText="1"/>
    </xf>
    <xf numFmtId="0" fontId="15" fillId="25" borderId="14" xfId="0" applyFont="1" applyFill="1" applyBorder="1"/>
    <xf numFmtId="0" fontId="22" fillId="0" borderId="21" xfId="0" applyFont="1" applyBorder="1" applyAlignment="1">
      <alignment horizontal="center" vertical="center"/>
    </xf>
    <xf numFmtId="0" fontId="35" fillId="29" borderId="14" xfId="0" applyFont="1" applyFill="1" applyBorder="1" applyAlignment="1">
      <alignment vertical="center"/>
    </xf>
    <xf numFmtId="9" fontId="4" fillId="7" borderId="14" xfId="0" applyNumberFormat="1" applyFont="1" applyFill="1" applyBorder="1"/>
    <xf numFmtId="10" fontId="36" fillId="0" borderId="43" xfId="0" applyNumberFormat="1" applyFont="1" applyBorder="1" applyAlignment="1">
      <alignment horizontal="center" vertical="center" wrapText="1"/>
    </xf>
    <xf numFmtId="0" fontId="36" fillId="26" borderId="35" xfId="0" applyFont="1" applyFill="1" applyBorder="1" applyAlignment="1">
      <alignment horizontal="center" vertical="center" wrapText="1"/>
    </xf>
    <xf numFmtId="10" fontId="47" fillId="25" borderId="14" xfId="0" applyNumberFormat="1" applyFont="1" applyFill="1" applyBorder="1" applyAlignment="1">
      <alignment horizontal="center" vertical="center" wrapText="1"/>
    </xf>
    <xf numFmtId="0" fontId="20" fillId="0" borderId="21" xfId="0" applyFont="1" applyBorder="1"/>
    <xf numFmtId="0" fontId="36" fillId="7" borderId="14" xfId="0" applyFont="1" applyFill="1" applyBorder="1" applyAlignment="1">
      <alignment horizontal="center" vertical="center" wrapText="1"/>
    </xf>
    <xf numFmtId="0" fontId="22" fillId="7" borderId="14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vertical="center"/>
    </xf>
    <xf numFmtId="0" fontId="35" fillId="29" borderId="14" xfId="0" applyFont="1" applyFill="1" applyBorder="1" applyAlignment="1">
      <alignment horizontal="left" vertical="center"/>
    </xf>
    <xf numFmtId="0" fontId="4" fillId="7" borderId="14" xfId="0" applyFont="1" applyFill="1" applyBorder="1"/>
    <xf numFmtId="0" fontId="39" fillId="0" borderId="24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left" vertical="center"/>
    </xf>
    <xf numFmtId="10" fontId="4" fillId="0" borderId="14" xfId="0" applyNumberFormat="1" applyFont="1" applyBorder="1"/>
    <xf numFmtId="0" fontId="36" fillId="31" borderId="14" xfId="0" applyFont="1" applyFill="1" applyBorder="1" applyAlignment="1">
      <alignment horizontal="center" vertical="center" wrapText="1"/>
    </xf>
    <xf numFmtId="10" fontId="43" fillId="0" borderId="14" xfId="0" applyNumberFormat="1" applyFont="1" applyBorder="1" applyAlignment="1">
      <alignment horizontal="center" vertical="center" wrapText="1"/>
    </xf>
    <xf numFmtId="10" fontId="74" fillId="0" borderId="14" xfId="0" applyNumberFormat="1" applyFont="1" applyBorder="1" applyAlignment="1">
      <alignment horizontal="center" vertical="center" wrapText="1"/>
    </xf>
    <xf numFmtId="10" fontId="76" fillId="0" borderId="14" xfId="0" applyNumberFormat="1" applyFont="1" applyBorder="1" applyAlignment="1">
      <alignment horizontal="center" vertical="center" wrapText="1"/>
    </xf>
    <xf numFmtId="9" fontId="43" fillId="0" borderId="14" xfId="0" applyNumberFormat="1" applyFont="1" applyBorder="1" applyAlignment="1">
      <alignment horizontal="center" vertical="center" wrapText="1"/>
    </xf>
    <xf numFmtId="10" fontId="43" fillId="0" borderId="24" xfId="0" applyNumberFormat="1" applyFont="1" applyBorder="1" applyAlignment="1">
      <alignment horizontal="center" vertical="center" wrapText="1"/>
    </xf>
    <xf numFmtId="10" fontId="74" fillId="0" borderId="24" xfId="0" applyNumberFormat="1" applyFont="1" applyBorder="1" applyAlignment="1">
      <alignment horizontal="center" vertical="center" wrapText="1"/>
    </xf>
    <xf numFmtId="10" fontId="74" fillId="0" borderId="21" xfId="0" applyNumberFormat="1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0" fontId="20" fillId="0" borderId="19" xfId="0" applyFont="1" applyBorder="1"/>
    <xf numFmtId="0" fontId="4" fillId="25" borderId="14" xfId="0" applyFont="1" applyFill="1" applyBorder="1"/>
    <xf numFmtId="10" fontId="4" fillId="26" borderId="14" xfId="0" applyNumberFormat="1" applyFont="1" applyFill="1" applyBorder="1" applyAlignment="1">
      <alignment vertical="center"/>
    </xf>
    <xf numFmtId="2" fontId="18" fillId="12" borderId="14" xfId="0" applyNumberFormat="1" applyFont="1" applyFill="1" applyBorder="1" applyAlignment="1">
      <alignment vertical="center"/>
    </xf>
    <xf numFmtId="0" fontId="36" fillId="14" borderId="14" xfId="0" applyFont="1" applyFill="1" applyBorder="1" applyAlignment="1">
      <alignment vertical="center" wrapText="1"/>
    </xf>
    <xf numFmtId="10" fontId="36" fillId="14" borderId="14" xfId="0" applyNumberFormat="1" applyFont="1" applyFill="1" applyBorder="1" applyAlignment="1">
      <alignment vertical="center" wrapText="1"/>
    </xf>
    <xf numFmtId="10" fontId="18" fillId="12" borderId="14" xfId="0" applyNumberFormat="1" applyFont="1" applyFill="1" applyBorder="1" applyAlignment="1">
      <alignment vertical="center"/>
    </xf>
    <xf numFmtId="2" fontId="18" fillId="12" borderId="21" xfId="0" applyNumberFormat="1" applyFont="1" applyFill="1" applyBorder="1" applyAlignment="1">
      <alignment horizontal="center" vertical="center" wrapText="1"/>
    </xf>
    <xf numFmtId="0" fontId="0" fillId="14" borderId="0" xfId="0" applyFill="1"/>
    <xf numFmtId="2" fontId="18" fillId="32" borderId="2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9" fontId="47" fillId="0" borderId="14" xfId="0" applyNumberFormat="1" applyFont="1" applyBorder="1" applyAlignment="1">
      <alignment horizontal="center" vertical="center" wrapText="1"/>
    </xf>
    <xf numFmtId="9" fontId="47" fillId="24" borderId="14" xfId="0" applyNumberFormat="1" applyFont="1" applyFill="1" applyBorder="1" applyAlignment="1">
      <alignment horizontal="center" vertical="center" wrapText="1"/>
    </xf>
    <xf numFmtId="9" fontId="39" fillId="24" borderId="14" xfId="0" applyNumberFormat="1" applyFont="1" applyFill="1" applyBorder="1" applyAlignment="1">
      <alignment horizontal="center" vertical="center" wrapText="1"/>
    </xf>
    <xf numFmtId="9" fontId="22" fillId="24" borderId="14" xfId="0" applyNumberFormat="1" applyFont="1" applyFill="1" applyBorder="1" applyAlignment="1">
      <alignment horizontal="center" vertical="center" wrapText="1"/>
    </xf>
    <xf numFmtId="9" fontId="0" fillId="0" borderId="14" xfId="0" applyNumberFormat="1" applyBorder="1"/>
    <xf numFmtId="0" fontId="36" fillId="33" borderId="17" xfId="0" applyFont="1" applyFill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/>
    </xf>
    <xf numFmtId="10" fontId="39" fillId="0" borderId="14" xfId="0" applyNumberFormat="1" applyFont="1" applyBorder="1" applyAlignment="1">
      <alignment horizontal="center" vertical="center" wrapText="1"/>
    </xf>
    <xf numFmtId="0" fontId="0" fillId="9" borderId="0" xfId="0" applyFill="1"/>
    <xf numFmtId="0" fontId="38" fillId="0" borderId="16" xfId="0" applyFont="1" applyBorder="1" applyAlignment="1">
      <alignment horizontal="center" vertical="center" wrapText="1"/>
    </xf>
    <xf numFmtId="0" fontId="4" fillId="7" borderId="0" xfId="0" applyFont="1" applyFill="1"/>
    <xf numFmtId="10" fontId="22" fillId="7" borderId="14" xfId="0" applyNumberFormat="1" applyFont="1" applyFill="1" applyBorder="1" applyAlignment="1">
      <alignment horizontal="center" vertical="center" wrapText="1"/>
    </xf>
    <xf numFmtId="0" fontId="22" fillId="7" borderId="14" xfId="0" applyFont="1" applyFill="1" applyBorder="1" applyAlignment="1">
      <alignment horizontal="center" vertical="center"/>
    </xf>
    <xf numFmtId="10" fontId="22" fillId="7" borderId="14" xfId="0" applyNumberFormat="1" applyFont="1" applyFill="1" applyBorder="1" applyAlignment="1">
      <alignment horizontal="center" vertical="center"/>
    </xf>
    <xf numFmtId="10" fontId="58" fillId="0" borderId="0" xfId="0" applyNumberFormat="1" applyFont="1"/>
    <xf numFmtId="10" fontId="27" fillId="0" borderId="0" xfId="0" applyNumberFormat="1" applyFont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10" fontId="33" fillId="0" borderId="19" xfId="2" applyNumberFormat="1" applyFont="1" applyBorder="1" applyAlignment="1">
      <alignment vertical="center"/>
    </xf>
    <xf numFmtId="9" fontId="43" fillId="0" borderId="14" xfId="2" applyFont="1" applyBorder="1" applyAlignment="1">
      <alignment horizontal="center" vertical="center"/>
    </xf>
    <xf numFmtId="9" fontId="74" fillId="0" borderId="14" xfId="2" applyFont="1" applyBorder="1" applyAlignment="1">
      <alignment horizontal="center" vertical="center"/>
    </xf>
    <xf numFmtId="0" fontId="43" fillId="0" borderId="14" xfId="2" applyNumberFormat="1" applyFont="1" applyBorder="1" applyAlignment="1">
      <alignment horizontal="center" vertical="center"/>
    </xf>
    <xf numFmtId="0" fontId="74" fillId="0" borderId="14" xfId="2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23" fillId="0" borderId="14" xfId="0" applyFont="1" applyBorder="1" applyAlignment="1">
      <alignment horizontal="center" vertical="center"/>
    </xf>
    <xf numFmtId="10" fontId="23" fillId="0" borderId="14" xfId="0" applyNumberFormat="1" applyFont="1" applyBorder="1" applyAlignment="1">
      <alignment horizontal="center" vertical="center"/>
    </xf>
    <xf numFmtId="0" fontId="22" fillId="9" borderId="35" xfId="0" applyFont="1" applyFill="1" applyBorder="1" applyAlignment="1">
      <alignment horizontal="center" vertical="center" wrapText="1"/>
    </xf>
    <xf numFmtId="0" fontId="35" fillId="7" borderId="14" xfId="0" applyFont="1" applyFill="1" applyBorder="1" applyAlignment="1">
      <alignment horizontal="left" vertical="center"/>
    </xf>
    <xf numFmtId="0" fontId="36" fillId="0" borderId="14" xfId="0" applyFont="1" applyBorder="1" applyAlignment="1">
      <alignment wrapText="1"/>
    </xf>
    <xf numFmtId="9" fontId="22" fillId="34" borderId="14" xfId="0" applyNumberFormat="1" applyFont="1" applyFill="1" applyBorder="1" applyAlignment="1">
      <alignment horizontal="center" vertical="center"/>
    </xf>
    <xf numFmtId="0" fontId="39" fillId="0" borderId="14" xfId="0" applyFont="1" applyBorder="1"/>
    <xf numFmtId="0" fontId="35" fillId="11" borderId="1" xfId="0" applyFont="1" applyFill="1" applyBorder="1" applyAlignment="1">
      <alignment horizontal="left" vertical="center"/>
    </xf>
    <xf numFmtId="0" fontId="0" fillId="0" borderId="55" xfId="0" applyBorder="1"/>
    <xf numFmtId="0" fontId="22" fillId="0" borderId="0" xfId="0" applyFont="1"/>
    <xf numFmtId="0" fontId="39" fillId="0" borderId="11" xfId="0" applyFont="1" applyBorder="1"/>
    <xf numFmtId="0" fontId="80" fillId="0" borderId="0" xfId="0" applyFont="1" applyAlignment="1">
      <alignment vertical="center"/>
    </xf>
    <xf numFmtId="0" fontId="80" fillId="0" borderId="0" xfId="0" applyFont="1" applyAlignment="1">
      <alignment horizontal="center" vertical="center"/>
    </xf>
    <xf numFmtId="0" fontId="39" fillId="0" borderId="28" xfId="0" applyFont="1" applyBorder="1"/>
    <xf numFmtId="0" fontId="22" fillId="0" borderId="20" xfId="0" applyFont="1" applyBorder="1"/>
    <xf numFmtId="0" fontId="22" fillId="0" borderId="15" xfId="0" applyFont="1" applyBorder="1"/>
    <xf numFmtId="0" fontId="23" fillId="0" borderId="0" xfId="0" applyFont="1"/>
    <xf numFmtId="0" fontId="81" fillId="2" borderId="9" xfId="0" applyFont="1" applyFill="1" applyBorder="1" applyAlignment="1">
      <alignment horizontal="center" vertical="center" wrapText="1"/>
    </xf>
    <xf numFmtId="9" fontId="23" fillId="0" borderId="9" xfId="0" applyNumberFormat="1" applyFont="1" applyBorder="1" applyAlignment="1">
      <alignment horizontal="center" vertical="center"/>
    </xf>
    <xf numFmtId="10" fontId="23" fillId="0" borderId="9" xfId="0" applyNumberFormat="1" applyFont="1" applyBorder="1" applyAlignment="1">
      <alignment horizontal="center" vertical="center"/>
    </xf>
    <xf numFmtId="9" fontId="23" fillId="0" borderId="9" xfId="2" applyFont="1" applyBorder="1" applyAlignment="1">
      <alignment horizontal="center" vertical="center"/>
    </xf>
    <xf numFmtId="0" fontId="80" fillId="0" borderId="0" xfId="0" applyFont="1"/>
    <xf numFmtId="0" fontId="83" fillId="0" borderId="0" xfId="0" applyFont="1" applyAlignment="1">
      <alignment horizontal="center" vertical="center"/>
    </xf>
    <xf numFmtId="0" fontId="39" fillId="0" borderId="0" xfId="0" applyFont="1"/>
    <xf numFmtId="0" fontId="84" fillId="0" borderId="0" xfId="0" applyFont="1" applyAlignment="1">
      <alignment vertical="center"/>
    </xf>
    <xf numFmtId="0" fontId="84" fillId="0" borderId="0" xfId="0" applyFont="1" applyAlignment="1">
      <alignment horizontal="center" vertical="center"/>
    </xf>
    <xf numFmtId="0" fontId="86" fillId="2" borderId="9" xfId="0" applyFont="1" applyFill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/>
    </xf>
    <xf numFmtId="0" fontId="39" fillId="0" borderId="9" xfId="2" applyNumberFormat="1" applyFont="1" applyBorder="1" applyAlignment="1">
      <alignment horizontal="center" vertical="center"/>
    </xf>
    <xf numFmtId="10" fontId="39" fillId="0" borderId="9" xfId="0" applyNumberFormat="1" applyFont="1" applyBorder="1" applyAlignment="1">
      <alignment horizontal="center" vertical="center"/>
    </xf>
    <xf numFmtId="9" fontId="39" fillId="0" borderId="9" xfId="2" applyFont="1" applyBorder="1" applyAlignment="1">
      <alignment horizontal="center" vertical="center"/>
    </xf>
    <xf numFmtId="0" fontId="87" fillId="0" borderId="0" xfId="0" applyFont="1" applyAlignment="1">
      <alignment horizontal="left" vertical="top"/>
    </xf>
    <xf numFmtId="0" fontId="8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80" fillId="0" borderId="0" xfId="0" applyFont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22" fillId="0" borderId="20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2" fillId="0" borderId="38" xfId="0" applyFont="1" applyBorder="1"/>
    <xf numFmtId="1" fontId="39" fillId="0" borderId="14" xfId="0" applyNumberFormat="1" applyFont="1" applyBorder="1" applyAlignment="1">
      <alignment horizontal="center" vertical="center"/>
    </xf>
    <xf numFmtId="0" fontId="79" fillId="0" borderId="10" xfId="0" applyFont="1" applyBorder="1" applyAlignment="1">
      <alignment vertical="center"/>
    </xf>
    <xf numFmtId="0" fontId="13" fillId="0" borderId="14" xfId="0" applyFont="1" applyBorder="1" applyAlignment="1">
      <alignment horizontal="center"/>
    </xf>
    <xf numFmtId="10" fontId="4" fillId="7" borderId="14" xfId="0" applyNumberFormat="1" applyFont="1" applyFill="1" applyBorder="1" applyAlignment="1">
      <alignment horizontal="center"/>
    </xf>
    <xf numFmtId="0" fontId="27" fillId="8" borderId="14" xfId="0" applyFont="1" applyFill="1" applyBorder="1" applyAlignment="1">
      <alignment horizontal="center" vertical="center" wrapText="1"/>
    </xf>
    <xf numFmtId="0" fontId="38" fillId="8" borderId="14" xfId="0" applyFont="1" applyFill="1" applyBorder="1" applyAlignment="1">
      <alignment horizontal="center" vertical="center" wrapText="1"/>
    </xf>
    <xf numFmtId="0" fontId="33" fillId="0" borderId="14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42" fillId="7" borderId="19" xfId="0" applyFont="1" applyFill="1" applyBorder="1" applyAlignment="1">
      <alignment horizontal="center" vertical="center" wrapText="1"/>
    </xf>
    <xf numFmtId="0" fontId="42" fillId="7" borderId="14" xfId="0" applyFont="1" applyFill="1" applyBorder="1" applyAlignment="1">
      <alignment horizontal="center" vertical="center" wrapText="1"/>
    </xf>
    <xf numFmtId="0" fontId="35" fillId="7" borderId="14" xfId="0" applyFont="1" applyFill="1" applyBorder="1" applyAlignment="1">
      <alignment vertical="center"/>
    </xf>
    <xf numFmtId="10" fontId="43" fillId="7" borderId="14" xfId="0" applyNumberFormat="1" applyFont="1" applyFill="1" applyBorder="1" applyAlignment="1">
      <alignment horizontal="center" vertical="center"/>
    </xf>
    <xf numFmtId="10" fontId="39" fillId="7" borderId="14" xfId="2" applyNumberFormat="1" applyFont="1" applyFill="1" applyBorder="1" applyAlignment="1">
      <alignment horizontal="center" vertical="center"/>
    </xf>
    <xf numFmtId="10" fontId="43" fillId="7" borderId="14" xfId="0" applyNumberFormat="1" applyFont="1" applyFill="1" applyBorder="1" applyAlignment="1">
      <alignment horizontal="center" vertical="center" wrapText="1"/>
    </xf>
    <xf numFmtId="9" fontId="43" fillId="7" borderId="14" xfId="0" applyNumberFormat="1" applyFont="1" applyFill="1" applyBorder="1" applyAlignment="1">
      <alignment horizontal="center" vertical="center"/>
    </xf>
    <xf numFmtId="0" fontId="19" fillId="10" borderId="14" xfId="0" applyFont="1" applyFill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6" xfId="0" applyBorder="1" applyAlignment="1">
      <alignment horizontal="center"/>
    </xf>
    <xf numFmtId="0" fontId="20" fillId="0" borderId="14" xfId="0" applyFont="1" applyBorder="1" applyAlignment="1">
      <alignment horizontal="center" vertical="center"/>
    </xf>
    <xf numFmtId="0" fontId="47" fillId="2" borderId="21" xfId="0" applyFont="1" applyFill="1" applyBorder="1" applyAlignment="1">
      <alignment vertical="center"/>
    </xf>
    <xf numFmtId="0" fontId="27" fillId="7" borderId="14" xfId="0" applyFont="1" applyFill="1" applyBorder="1" applyAlignment="1">
      <alignment horizontal="center" vertical="center"/>
    </xf>
    <xf numFmtId="8" fontId="36" fillId="0" borderId="14" xfId="0" applyNumberFormat="1" applyFont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39" fillId="0" borderId="14" xfId="0" applyFont="1" applyBorder="1" applyAlignment="1">
      <alignment horizontal="left" vertical="center" wrapText="1"/>
    </xf>
    <xf numFmtId="0" fontId="29" fillId="0" borderId="0" xfId="0" applyFont="1" applyAlignment="1">
      <alignment wrapText="1"/>
    </xf>
    <xf numFmtId="0" fontId="64" fillId="0" borderId="0" xfId="0" applyFont="1" applyAlignment="1">
      <alignment horizontal="center" vertical="center" wrapText="1"/>
    </xf>
    <xf numFmtId="0" fontId="65" fillId="0" borderId="0" xfId="0" applyFont="1" applyAlignment="1">
      <alignment wrapText="1"/>
    </xf>
    <xf numFmtId="0" fontId="24" fillId="0" borderId="14" xfId="1" applyFill="1" applyBorder="1" applyAlignment="1">
      <alignment horizontal="left" vertical="center" wrapText="1"/>
    </xf>
    <xf numFmtId="0" fontId="48" fillId="0" borderId="0" xfId="0" applyFont="1" applyAlignment="1">
      <alignment horizontal="center" vertical="center" wrapText="1"/>
    </xf>
    <xf numFmtId="0" fontId="26" fillId="0" borderId="0" xfId="0" applyFont="1" applyAlignment="1">
      <alignment wrapText="1"/>
    </xf>
    <xf numFmtId="0" fontId="71" fillId="0" borderId="0" xfId="0" applyFont="1" applyAlignment="1">
      <alignment horizontal="center" vertical="center" wrapText="1"/>
    </xf>
    <xf numFmtId="0" fontId="43" fillId="0" borderId="14" xfId="0" applyFont="1" applyBorder="1" applyAlignment="1">
      <alignment wrapText="1"/>
    </xf>
    <xf numFmtId="0" fontId="72" fillId="0" borderId="0" xfId="0" applyFont="1" applyAlignment="1">
      <alignment wrapText="1"/>
    </xf>
    <xf numFmtId="0" fontId="39" fillId="0" borderId="14" xfId="0" applyFont="1" applyBorder="1" applyAlignment="1">
      <alignment horizontal="left" wrapText="1"/>
    </xf>
    <xf numFmtId="0" fontId="48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9" fillId="0" borderId="14" xfId="0" applyFont="1" applyBorder="1" applyAlignment="1">
      <alignment wrapText="1"/>
    </xf>
    <xf numFmtId="0" fontId="39" fillId="0" borderId="14" xfId="0" applyFont="1" applyBorder="1" applyAlignment="1">
      <alignment horizontal="justify" vertical="center"/>
    </xf>
    <xf numFmtId="0" fontId="0" fillId="0" borderId="14" xfId="0" applyBorder="1" applyAlignment="1">
      <alignment wrapText="1"/>
    </xf>
    <xf numFmtId="0" fontId="27" fillId="0" borderId="0" xfId="0" applyFont="1"/>
    <xf numFmtId="0" fontId="22" fillId="0" borderId="56" xfId="0" applyFont="1" applyBorder="1" applyAlignment="1">
      <alignment horizontal="left" vertical="center" wrapText="1"/>
    </xf>
    <xf numFmtId="0" fontId="22" fillId="0" borderId="53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19" xfId="0" applyFont="1" applyBorder="1" applyAlignment="1">
      <alignment horizontal="center" vertical="center" wrapText="1"/>
    </xf>
    <xf numFmtId="0" fontId="39" fillId="0" borderId="14" xfId="1" applyFont="1" applyFill="1" applyBorder="1" applyAlignment="1">
      <alignment horizontal="left" vertical="center" wrapText="1"/>
    </xf>
    <xf numFmtId="0" fontId="49" fillId="0" borderId="14" xfId="1" applyFont="1" applyFill="1" applyBorder="1" applyAlignment="1">
      <alignment horizontal="left" vertical="center" wrapText="1"/>
    </xf>
    <xf numFmtId="0" fontId="26" fillId="0" borderId="31" xfId="0" applyFont="1" applyBorder="1"/>
    <xf numFmtId="6" fontId="36" fillId="0" borderId="35" xfId="0" applyNumberFormat="1" applyFont="1" applyBorder="1" applyAlignment="1">
      <alignment horizontal="center" vertical="center"/>
    </xf>
    <xf numFmtId="10" fontId="36" fillId="0" borderId="38" xfId="0" applyNumberFormat="1" applyFont="1" applyBorder="1" applyAlignment="1">
      <alignment horizontal="center" vertical="center"/>
    </xf>
    <xf numFmtId="0" fontId="89" fillId="0" borderId="14" xfId="0" applyFont="1" applyBorder="1" applyAlignment="1">
      <alignment horizontal="center" vertical="center"/>
    </xf>
    <xf numFmtId="9" fontId="89" fillId="0" borderId="14" xfId="0" applyNumberFormat="1" applyFont="1" applyBorder="1" applyAlignment="1">
      <alignment horizontal="center" vertical="center"/>
    </xf>
    <xf numFmtId="0" fontId="35" fillId="11" borderId="14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35" fillId="30" borderId="0" xfId="0" applyFont="1" applyFill="1" applyAlignment="1">
      <alignment horizontal="left" vertical="center"/>
    </xf>
    <xf numFmtId="0" fontId="4" fillId="9" borderId="0" xfId="0" applyFont="1" applyFill="1"/>
    <xf numFmtId="0" fontId="38" fillId="21" borderId="50" xfId="0" applyFont="1" applyFill="1" applyBorder="1" applyAlignment="1">
      <alignment horizontal="center" vertical="center" wrapText="1"/>
    </xf>
    <xf numFmtId="0" fontId="38" fillId="21" borderId="56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/>
    </xf>
    <xf numFmtId="0" fontId="38" fillId="21" borderId="37" xfId="0" applyFont="1" applyFill="1" applyBorder="1" applyAlignment="1">
      <alignment horizontal="center" vertical="center" wrapText="1"/>
    </xf>
    <xf numFmtId="9" fontId="36" fillId="0" borderId="57" xfId="0" applyNumberFormat="1" applyFont="1" applyBorder="1" applyAlignment="1">
      <alignment horizontal="center" vertical="center"/>
    </xf>
    <xf numFmtId="9" fontId="36" fillId="0" borderId="17" xfId="0" applyNumberFormat="1" applyFont="1" applyBorder="1" applyAlignment="1">
      <alignment horizontal="center" vertical="center"/>
    </xf>
    <xf numFmtId="0" fontId="74" fillId="2" borderId="14" xfId="0" applyFont="1" applyFill="1" applyBorder="1" applyAlignment="1">
      <alignment horizontal="center" vertical="center" wrapText="1"/>
    </xf>
    <xf numFmtId="10" fontId="39" fillId="16" borderId="14" xfId="2" applyNumberFormat="1" applyFont="1" applyFill="1" applyBorder="1" applyAlignment="1">
      <alignment horizontal="center" vertical="center"/>
    </xf>
    <xf numFmtId="10" fontId="13" fillId="25" borderId="14" xfId="0" applyNumberFormat="1" applyFont="1" applyFill="1" applyBorder="1" applyAlignment="1">
      <alignment horizontal="center"/>
    </xf>
    <xf numFmtId="0" fontId="58" fillId="9" borderId="0" xfId="0" applyFont="1" applyFill="1"/>
    <xf numFmtId="0" fontId="17" fillId="9" borderId="0" xfId="0" applyFont="1" applyFill="1" applyAlignment="1">
      <alignment horizontal="left" vertical="top"/>
    </xf>
    <xf numFmtId="0" fontId="28" fillId="0" borderId="24" xfId="0" applyFont="1" applyBorder="1" applyAlignment="1">
      <alignment horizontal="left" vertical="top" wrapText="1"/>
    </xf>
    <xf numFmtId="0" fontId="28" fillId="0" borderId="36" xfId="0" applyFont="1" applyBorder="1" applyAlignment="1">
      <alignment horizontal="left" vertical="top" wrapText="1"/>
    </xf>
    <xf numFmtId="0" fontId="38" fillId="4" borderId="19" xfId="0" applyFont="1" applyFill="1" applyBorder="1" applyAlignment="1">
      <alignment horizontal="center" vertical="center" wrapText="1"/>
    </xf>
    <xf numFmtId="0" fontId="44" fillId="0" borderId="19" xfId="0" applyFont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/>
    </xf>
    <xf numFmtId="0" fontId="38" fillId="4" borderId="29" xfId="0" applyFont="1" applyFill="1" applyBorder="1" applyAlignment="1">
      <alignment horizontal="center" vertical="center" wrapText="1"/>
    </xf>
    <xf numFmtId="10" fontId="36" fillId="0" borderId="19" xfId="0" applyNumberFormat="1" applyFont="1" applyBorder="1" applyAlignment="1">
      <alignment horizontal="center" vertical="center" wrapText="1"/>
    </xf>
    <xf numFmtId="0" fontId="20" fillId="13" borderId="19" xfId="0" applyFont="1" applyFill="1" applyBorder="1"/>
    <xf numFmtId="0" fontId="0" fillId="13" borderId="19" xfId="0" applyFill="1" applyBorder="1"/>
    <xf numFmtId="10" fontId="18" fillId="12" borderId="19" xfId="0" applyNumberFormat="1" applyFont="1" applyFill="1" applyBorder="1" applyAlignment="1">
      <alignment vertical="center"/>
    </xf>
    <xf numFmtId="0" fontId="0" fillId="14" borderId="19" xfId="0" applyFill="1" applyBorder="1"/>
    <xf numFmtId="10" fontId="36" fillId="14" borderId="19" xfId="0" applyNumberFormat="1" applyFont="1" applyFill="1" applyBorder="1" applyAlignment="1">
      <alignment vertical="center" wrapText="1"/>
    </xf>
    <xf numFmtId="10" fontId="4" fillId="26" borderId="19" xfId="0" applyNumberFormat="1" applyFont="1" applyFill="1" applyBorder="1" applyAlignment="1">
      <alignment vertical="center"/>
    </xf>
    <xf numFmtId="0" fontId="36" fillId="0" borderId="58" xfId="0" applyFont="1" applyBorder="1" applyAlignment="1">
      <alignment horizontal="center" vertical="center" wrapText="1"/>
    </xf>
    <xf numFmtId="2" fontId="4" fillId="0" borderId="19" xfId="0" applyNumberFormat="1" applyFont="1" applyBorder="1" applyAlignment="1">
      <alignment vertical="center"/>
    </xf>
    <xf numFmtId="0" fontId="1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39" fillId="0" borderId="14" xfId="0" applyFont="1" applyBorder="1" applyAlignment="1">
      <alignment horizontal="left" vertical="center"/>
    </xf>
    <xf numFmtId="0" fontId="24" fillId="0" borderId="14" xfId="1" applyFill="1" applyBorder="1" applyAlignment="1">
      <alignment vertical="center"/>
    </xf>
    <xf numFmtId="0" fontId="24" fillId="0" borderId="14" xfId="1" applyFill="1" applyBorder="1" applyAlignment="1">
      <alignment vertical="center" wrapText="1"/>
    </xf>
    <xf numFmtId="0" fontId="24" fillId="0" borderId="14" xfId="1" applyFill="1" applyBorder="1" applyAlignment="1">
      <alignment horizontal="left" vertical="center"/>
    </xf>
    <xf numFmtId="9" fontId="0" fillId="7" borderId="14" xfId="0" applyNumberFormat="1" applyFill="1" applyBorder="1" applyAlignment="1">
      <alignment horizontal="center"/>
    </xf>
    <xf numFmtId="10" fontId="0" fillId="7" borderId="14" xfId="0" applyNumberFormat="1" applyFill="1" applyBorder="1" applyAlignment="1">
      <alignment horizontal="center"/>
    </xf>
    <xf numFmtId="0" fontId="36" fillId="9" borderId="35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left" vertical="center"/>
    </xf>
    <xf numFmtId="9" fontId="23" fillId="0" borderId="14" xfId="0" applyNumberFormat="1" applyFont="1" applyBorder="1" applyAlignment="1">
      <alignment horizontal="left" vertical="center"/>
    </xf>
    <xf numFmtId="9" fontId="36" fillId="26" borderId="14" xfId="0" applyNumberFormat="1" applyFont="1" applyFill="1" applyBorder="1" applyAlignment="1">
      <alignment horizontal="center" vertical="center" wrapText="1"/>
    </xf>
    <xf numFmtId="10" fontId="36" fillId="0" borderId="42" xfId="0" applyNumberFormat="1" applyFont="1" applyBorder="1" applyAlignment="1">
      <alignment horizontal="center" vertical="center" wrapText="1"/>
    </xf>
    <xf numFmtId="10" fontId="36" fillId="26" borderId="43" xfId="0" applyNumberFormat="1" applyFont="1" applyFill="1" applyBorder="1" applyAlignment="1">
      <alignment horizontal="center" vertical="center" wrapText="1"/>
    </xf>
    <xf numFmtId="10" fontId="36" fillId="0" borderId="44" xfId="0" applyNumberFormat="1" applyFont="1" applyBorder="1" applyAlignment="1">
      <alignment horizontal="center" vertical="center" wrapText="1"/>
    </xf>
    <xf numFmtId="9" fontId="36" fillId="0" borderId="17" xfId="0" applyNumberFormat="1" applyFont="1" applyBorder="1" applyAlignment="1">
      <alignment horizontal="center" vertical="center" wrapText="1"/>
    </xf>
    <xf numFmtId="0" fontId="36" fillId="22" borderId="17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36" fillId="0" borderId="18" xfId="0" applyFont="1" applyBorder="1" applyAlignment="1">
      <alignment horizontal="center" vertical="center" wrapText="1"/>
    </xf>
    <xf numFmtId="10" fontId="33" fillId="0" borderId="0" xfId="2" applyNumberFormat="1" applyFont="1" applyBorder="1" applyAlignment="1">
      <alignment vertical="center"/>
    </xf>
    <xf numFmtId="10" fontId="33" fillId="0" borderId="0" xfId="0" applyNumberFormat="1" applyFont="1" applyAlignment="1">
      <alignment vertical="center"/>
    </xf>
    <xf numFmtId="9" fontId="22" fillId="0" borderId="14" xfId="0" applyNumberFormat="1" applyFont="1" applyBorder="1" applyAlignment="1">
      <alignment vertical="center" wrapText="1"/>
    </xf>
    <xf numFmtId="0" fontId="81" fillId="2" borderId="13" xfId="0" applyFont="1" applyFill="1" applyBorder="1" applyAlignment="1">
      <alignment horizontal="center" vertical="center" wrapText="1"/>
    </xf>
    <xf numFmtId="0" fontId="81" fillId="2" borderId="1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left" vertical="center" wrapText="1"/>
    </xf>
    <xf numFmtId="0" fontId="47" fillId="0" borderId="14" xfId="0" applyFont="1" applyBorder="1" applyAlignment="1">
      <alignment vertical="center"/>
    </xf>
    <xf numFmtId="9" fontId="23" fillId="0" borderId="14" xfId="2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9" fontId="23" fillId="0" borderId="19" xfId="2" applyFont="1" applyBorder="1" applyAlignment="1">
      <alignment horizontal="center" vertical="center"/>
    </xf>
    <xf numFmtId="9" fontId="23" fillId="0" borderId="0" xfId="2" applyFont="1" applyBorder="1" applyAlignment="1">
      <alignment horizontal="center" vertical="center"/>
    </xf>
    <xf numFmtId="9" fontId="23" fillId="0" borderId="0" xfId="0" applyNumberFormat="1" applyFont="1" applyAlignment="1">
      <alignment horizontal="center" vertical="center"/>
    </xf>
    <xf numFmtId="9" fontId="55" fillId="0" borderId="0" xfId="2" applyFont="1" applyBorder="1" applyAlignment="1">
      <alignment horizontal="left" vertical="center"/>
    </xf>
    <xf numFmtId="0" fontId="81" fillId="2" borderId="14" xfId="0" applyFont="1" applyFill="1" applyBorder="1" applyAlignment="1">
      <alignment horizontal="center" vertical="center" wrapText="1"/>
    </xf>
    <xf numFmtId="0" fontId="92" fillId="0" borderId="17" xfId="0" applyFont="1" applyBorder="1" applyAlignment="1">
      <alignment horizontal="center" vertical="center" wrapText="1"/>
    </xf>
    <xf numFmtId="0" fontId="43" fillId="0" borderId="18" xfId="0" applyFont="1" applyBorder="1" applyAlignment="1">
      <alignment horizontal="center" vertical="center" wrapText="1"/>
    </xf>
    <xf numFmtId="0" fontId="43" fillId="0" borderId="35" xfId="0" applyFont="1" applyBorder="1" applyAlignment="1">
      <alignment horizontal="center" vertical="center" wrapText="1"/>
    </xf>
    <xf numFmtId="0" fontId="43" fillId="0" borderId="38" xfId="0" applyFont="1" applyBorder="1" applyAlignment="1">
      <alignment horizontal="center" vertical="center" wrapText="1"/>
    </xf>
    <xf numFmtId="0" fontId="43" fillId="5" borderId="18" xfId="0" applyFont="1" applyFill="1" applyBorder="1" applyAlignment="1">
      <alignment horizontal="center" vertical="center" wrapText="1"/>
    </xf>
    <xf numFmtId="0" fontId="36" fillId="0" borderId="59" xfId="0" applyFont="1" applyBorder="1" applyAlignment="1">
      <alignment horizontal="center" vertical="center" wrapText="1"/>
    </xf>
    <xf numFmtId="10" fontId="36" fillId="0" borderId="59" xfId="0" applyNumberFormat="1" applyFont="1" applyBorder="1" applyAlignment="1">
      <alignment horizontal="center" vertical="center" wrapText="1"/>
    </xf>
    <xf numFmtId="9" fontId="36" fillId="26" borderId="59" xfId="0" applyNumberFormat="1" applyFont="1" applyFill="1" applyBorder="1" applyAlignment="1">
      <alignment horizontal="center" vertical="center" wrapText="1"/>
    </xf>
    <xf numFmtId="9" fontId="36" fillId="0" borderId="59" xfId="0" applyNumberFormat="1" applyFont="1" applyBorder="1" applyAlignment="1">
      <alignment horizontal="center" vertical="center" wrapText="1"/>
    </xf>
    <xf numFmtId="10" fontId="36" fillId="0" borderId="47" xfId="0" applyNumberFormat="1" applyFont="1" applyBorder="1" applyAlignment="1">
      <alignment horizontal="center" vertical="center" wrapText="1"/>
    </xf>
    <xf numFmtId="0" fontId="4" fillId="0" borderId="10" xfId="0" applyFont="1" applyBorder="1"/>
    <xf numFmtId="0" fontId="36" fillId="0" borderId="14" xfId="0" applyFont="1" applyBorder="1"/>
    <xf numFmtId="0" fontId="39" fillId="18" borderId="14" xfId="0" applyFont="1" applyFill="1" applyBorder="1" applyAlignment="1">
      <alignment horizontal="center" vertical="center" wrapText="1"/>
    </xf>
    <xf numFmtId="0" fontId="43" fillId="18" borderId="18" xfId="0" applyFont="1" applyFill="1" applyBorder="1" applyAlignment="1">
      <alignment horizontal="center" vertical="center" wrapText="1"/>
    </xf>
    <xf numFmtId="0" fontId="93" fillId="35" borderId="16" xfId="0" applyFont="1" applyFill="1" applyBorder="1" applyAlignment="1">
      <alignment horizontal="center" vertical="center"/>
    </xf>
    <xf numFmtId="0" fontId="93" fillId="0" borderId="17" xfId="0" applyFont="1" applyBorder="1" applyAlignment="1">
      <alignment horizontal="center" vertical="center"/>
    </xf>
    <xf numFmtId="0" fontId="94" fillId="0" borderId="35" xfId="0" applyFont="1" applyBorder="1" applyAlignment="1">
      <alignment horizontal="center" vertical="center"/>
    </xf>
    <xf numFmtId="0" fontId="94" fillId="35" borderId="35" xfId="0" applyFont="1" applyFill="1" applyBorder="1" applyAlignment="1">
      <alignment horizontal="center" vertical="center"/>
    </xf>
    <xf numFmtId="0" fontId="93" fillId="35" borderId="35" xfId="0" applyFont="1" applyFill="1" applyBorder="1" applyAlignment="1">
      <alignment horizontal="center" vertical="center"/>
    </xf>
    <xf numFmtId="0" fontId="93" fillId="0" borderId="35" xfId="0" applyFont="1" applyBorder="1" applyAlignment="1">
      <alignment horizontal="center" vertical="center"/>
    </xf>
    <xf numFmtId="0" fontId="94" fillId="0" borderId="17" xfId="0" applyFont="1" applyBorder="1" applyAlignment="1">
      <alignment horizontal="center" vertical="center"/>
    </xf>
    <xf numFmtId="0" fontId="94" fillId="0" borderId="53" xfId="0" applyFont="1" applyBorder="1" applyAlignment="1">
      <alignment horizontal="center" vertical="center" wrapText="1"/>
    </xf>
    <xf numFmtId="0" fontId="68" fillId="23" borderId="16" xfId="0" applyFont="1" applyFill="1" applyBorder="1" applyAlignment="1">
      <alignment horizontal="center" vertical="center" wrapText="1"/>
    </xf>
    <xf numFmtId="0" fontId="68" fillId="23" borderId="17" xfId="0" applyFont="1" applyFill="1" applyBorder="1" applyAlignment="1">
      <alignment horizontal="center" vertical="center" wrapText="1"/>
    </xf>
    <xf numFmtId="0" fontId="68" fillId="23" borderId="35" xfId="0" applyFont="1" applyFill="1" applyBorder="1" applyAlignment="1">
      <alignment horizontal="center" vertical="center" wrapText="1"/>
    </xf>
    <xf numFmtId="0" fontId="68" fillId="23" borderId="35" xfId="0" applyFont="1" applyFill="1" applyBorder="1" applyAlignment="1">
      <alignment vertical="center"/>
    </xf>
    <xf numFmtId="0" fontId="69" fillId="5" borderId="17" xfId="0" applyFont="1" applyFill="1" applyBorder="1" applyAlignment="1">
      <alignment vertical="center" wrapText="1"/>
    </xf>
    <xf numFmtId="0" fontId="69" fillId="5" borderId="35" xfId="0" applyFont="1" applyFill="1" applyBorder="1" applyAlignment="1">
      <alignment horizontal="right" vertical="center"/>
    </xf>
    <xf numFmtId="0" fontId="68" fillId="23" borderId="35" xfId="0" applyFont="1" applyFill="1" applyBorder="1" applyAlignment="1">
      <alignment horizontal="right" vertical="center"/>
    </xf>
    <xf numFmtId="0" fontId="68" fillId="23" borderId="17" xfId="0" applyFont="1" applyFill="1" applyBorder="1" applyAlignment="1">
      <alignment vertical="center"/>
    </xf>
    <xf numFmtId="0" fontId="95" fillId="0" borderId="35" xfId="0" applyFont="1" applyBorder="1" applyAlignment="1">
      <alignment vertical="center"/>
    </xf>
    <xf numFmtId="3" fontId="68" fillId="23" borderId="35" xfId="0" applyNumberFormat="1" applyFont="1" applyFill="1" applyBorder="1" applyAlignment="1">
      <alignment horizontal="right" vertical="center"/>
    </xf>
    <xf numFmtId="0" fontId="69" fillId="5" borderId="53" xfId="0" applyFont="1" applyFill="1" applyBorder="1" applyAlignment="1">
      <alignment vertical="center" wrapText="1"/>
    </xf>
    <xf numFmtId="0" fontId="69" fillId="5" borderId="14" xfId="0" applyFont="1" applyFill="1" applyBorder="1" applyAlignment="1">
      <alignment vertical="center" wrapText="1"/>
    </xf>
    <xf numFmtId="0" fontId="96" fillId="18" borderId="35" xfId="0" applyFont="1" applyFill="1" applyBorder="1" applyAlignment="1">
      <alignment horizontal="right" vertical="center"/>
    </xf>
    <xf numFmtId="0" fontId="96" fillId="18" borderId="35" xfId="0" applyFont="1" applyFill="1" applyBorder="1" applyAlignment="1">
      <alignment vertical="center"/>
    </xf>
    <xf numFmtId="0" fontId="68" fillId="23" borderId="50" xfId="0" applyFont="1" applyFill="1" applyBorder="1" applyAlignment="1">
      <alignment vertical="center" wrapText="1"/>
    </xf>
    <xf numFmtId="0" fontId="96" fillId="18" borderId="38" xfId="0" applyFont="1" applyFill="1" applyBorder="1" applyAlignment="1">
      <alignment horizontal="right" vertical="center"/>
    </xf>
    <xf numFmtId="0" fontId="69" fillId="5" borderId="0" xfId="0" applyFont="1" applyFill="1" applyAlignment="1">
      <alignment vertical="center" wrapText="1"/>
    </xf>
    <xf numFmtId="9" fontId="20" fillId="0" borderId="14" xfId="0" applyNumberFormat="1" applyFont="1" applyBorder="1" applyAlignment="1">
      <alignment horizontal="center"/>
    </xf>
    <xf numFmtId="0" fontId="95" fillId="0" borderId="14" xfId="0" applyFont="1" applyBorder="1" applyAlignment="1">
      <alignment horizontal="center" vertical="center"/>
    </xf>
    <xf numFmtId="9" fontId="36" fillId="0" borderId="35" xfId="0" applyNumberFormat="1" applyFont="1" applyBorder="1" applyAlignment="1">
      <alignment horizontal="center" vertical="center" wrapText="1"/>
    </xf>
    <xf numFmtId="10" fontId="36" fillId="0" borderId="35" xfId="0" applyNumberFormat="1" applyFont="1" applyBorder="1" applyAlignment="1">
      <alignment horizontal="center" vertical="center" wrapText="1"/>
    </xf>
    <xf numFmtId="9" fontId="36" fillId="0" borderId="38" xfId="0" applyNumberFormat="1" applyFont="1" applyBorder="1" applyAlignment="1">
      <alignment horizontal="center" vertical="center" wrapText="1"/>
    </xf>
    <xf numFmtId="10" fontId="36" fillId="0" borderId="14" xfId="0" applyNumberFormat="1" applyFont="1" applyBorder="1" applyAlignment="1">
      <alignment vertical="center" wrapText="1"/>
    </xf>
    <xf numFmtId="0" fontId="97" fillId="23" borderId="35" xfId="0" applyFont="1" applyFill="1" applyBorder="1" applyAlignment="1">
      <alignment horizontal="right" vertical="center" wrapText="1"/>
    </xf>
    <xf numFmtId="0" fontId="97" fillId="23" borderId="35" xfId="0" applyFont="1" applyFill="1" applyBorder="1" applyAlignment="1">
      <alignment horizontal="center" vertical="center" wrapText="1"/>
    </xf>
    <xf numFmtId="10" fontId="98" fillId="26" borderId="35" xfId="0" applyNumberFormat="1" applyFont="1" applyFill="1" applyBorder="1" applyAlignment="1">
      <alignment horizontal="right" vertical="center"/>
    </xf>
    <xf numFmtId="0" fontId="69" fillId="5" borderId="35" xfId="0" applyFont="1" applyFill="1" applyBorder="1" applyAlignment="1">
      <alignment vertical="center" wrapText="1"/>
    </xf>
    <xf numFmtId="10" fontId="95" fillId="26" borderId="35" xfId="0" applyNumberFormat="1" applyFont="1" applyFill="1" applyBorder="1" applyAlignment="1">
      <alignment horizontal="right" vertical="center"/>
    </xf>
    <xf numFmtId="10" fontId="95" fillId="0" borderId="35" xfId="0" applyNumberFormat="1" applyFont="1" applyBorder="1" applyAlignment="1">
      <alignment horizontal="right" vertical="center"/>
    </xf>
    <xf numFmtId="10" fontId="95" fillId="36" borderId="35" xfId="0" applyNumberFormat="1" applyFont="1" applyFill="1" applyBorder="1" applyAlignment="1">
      <alignment horizontal="right" vertical="center"/>
    </xf>
    <xf numFmtId="10" fontId="98" fillId="0" borderId="35" xfId="0" applyNumberFormat="1" applyFont="1" applyBorder="1" applyAlignment="1">
      <alignment horizontal="right" vertical="center"/>
    </xf>
    <xf numFmtId="10" fontId="98" fillId="36" borderId="35" xfId="0" applyNumberFormat="1" applyFont="1" applyFill="1" applyBorder="1" applyAlignment="1">
      <alignment horizontal="right" vertical="center"/>
    </xf>
    <xf numFmtId="10" fontId="98" fillId="37" borderId="35" xfId="0" applyNumberFormat="1" applyFont="1" applyFill="1" applyBorder="1" applyAlignment="1">
      <alignment horizontal="right" vertical="center"/>
    </xf>
    <xf numFmtId="10" fontId="36" fillId="0" borderId="16" xfId="0" applyNumberFormat="1" applyFont="1" applyBorder="1" applyAlignment="1">
      <alignment horizontal="center" vertical="center"/>
    </xf>
    <xf numFmtId="10" fontId="36" fillId="0" borderId="17" xfId="0" applyNumberFormat="1" applyFont="1" applyBorder="1" applyAlignment="1">
      <alignment horizontal="center" vertical="center"/>
    </xf>
    <xf numFmtId="10" fontId="36" fillId="26" borderId="17" xfId="0" applyNumberFormat="1" applyFont="1" applyFill="1" applyBorder="1" applyAlignment="1">
      <alignment horizontal="center" vertical="center"/>
    </xf>
    <xf numFmtId="0" fontId="44" fillId="0" borderId="16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2" fontId="4" fillId="0" borderId="14" xfId="0" applyNumberFormat="1" applyFont="1" applyBorder="1"/>
    <xf numFmtId="0" fontId="22" fillId="0" borderId="66" xfId="0" applyFont="1" applyBorder="1" applyAlignment="1">
      <alignment horizontal="center" vertical="center" wrapText="1"/>
    </xf>
    <xf numFmtId="10" fontId="36" fillId="0" borderId="16" xfId="0" applyNumberFormat="1" applyFont="1" applyBorder="1" applyAlignment="1">
      <alignment horizontal="center" vertical="center" wrapText="1"/>
    </xf>
    <xf numFmtId="10" fontId="36" fillId="0" borderId="17" xfId="0" applyNumberFormat="1" applyFont="1" applyBorder="1" applyAlignment="1">
      <alignment horizontal="center" vertical="center" wrapText="1"/>
    </xf>
    <xf numFmtId="10" fontId="22" fillId="0" borderId="19" xfId="0" applyNumberFormat="1" applyFont="1" applyBorder="1" applyAlignment="1">
      <alignment horizontal="center" vertical="center" wrapText="1"/>
    </xf>
    <xf numFmtId="10" fontId="36" fillId="0" borderId="53" xfId="0" applyNumberFormat="1" applyFont="1" applyBorder="1" applyAlignment="1">
      <alignment horizontal="center" vertical="center" wrapText="1"/>
    </xf>
    <xf numFmtId="10" fontId="36" fillId="0" borderId="24" xfId="0" applyNumberFormat="1" applyFont="1" applyBorder="1" applyAlignment="1">
      <alignment vertical="center" wrapText="1"/>
    </xf>
    <xf numFmtId="9" fontId="36" fillId="0" borderId="14" xfId="0" applyNumberFormat="1" applyFont="1" applyBorder="1" applyAlignment="1">
      <alignment vertical="center" wrapText="1"/>
    </xf>
    <xf numFmtId="0" fontId="36" fillId="5" borderId="35" xfId="0" applyFont="1" applyFill="1" applyBorder="1" applyAlignment="1">
      <alignment horizontal="center" vertical="center" wrapText="1"/>
    </xf>
    <xf numFmtId="0" fontId="22" fillId="26" borderId="14" xfId="0" applyFont="1" applyFill="1" applyBorder="1" applyAlignment="1">
      <alignment horizontal="center" vertical="center" wrapText="1"/>
    </xf>
    <xf numFmtId="0" fontId="36" fillId="26" borderId="14" xfId="0" applyFont="1" applyFill="1" applyBorder="1" applyAlignment="1">
      <alignment horizontal="center" vertical="center" wrapText="1"/>
    </xf>
    <xf numFmtId="0" fontId="36" fillId="9" borderId="16" xfId="0" applyFont="1" applyFill="1" applyBorder="1" applyAlignment="1">
      <alignment horizontal="center" vertical="center" wrapText="1"/>
    </xf>
    <xf numFmtId="0" fontId="36" fillId="9" borderId="17" xfId="0" applyFont="1" applyFill="1" applyBorder="1" applyAlignment="1">
      <alignment horizontal="center" vertical="center" wrapText="1"/>
    </xf>
    <xf numFmtId="10" fontId="43" fillId="34" borderId="14" xfId="0" applyNumberFormat="1" applyFont="1" applyFill="1" applyBorder="1" applyAlignment="1">
      <alignment horizontal="center" vertical="center" wrapText="1"/>
    </xf>
    <xf numFmtId="0" fontId="36" fillId="0" borderId="66" xfId="0" applyFont="1" applyBorder="1" applyAlignment="1">
      <alignment horizontal="center" vertical="center" wrapText="1"/>
    </xf>
    <xf numFmtId="9" fontId="4" fillId="0" borderId="14" xfId="0" applyNumberFormat="1" applyFont="1" applyBorder="1" applyAlignment="1">
      <alignment horizontal="center" vertical="center"/>
    </xf>
    <xf numFmtId="9" fontId="33" fillId="0" borderId="14" xfId="2" applyFont="1" applyBorder="1" applyAlignment="1">
      <alignment horizontal="center" vertical="center"/>
    </xf>
    <xf numFmtId="9" fontId="39" fillId="16" borderId="14" xfId="0" applyNumberFormat="1" applyFont="1" applyFill="1" applyBorder="1" applyAlignment="1">
      <alignment horizontal="center" vertical="center"/>
    </xf>
    <xf numFmtId="9" fontId="39" fillId="16" borderId="14" xfId="2" applyFont="1" applyFill="1" applyBorder="1" applyAlignment="1">
      <alignment horizontal="center" vertical="center"/>
    </xf>
    <xf numFmtId="9" fontId="33" fillId="0" borderId="14" xfId="0" applyNumberFormat="1" applyFont="1" applyBorder="1" applyAlignment="1">
      <alignment horizontal="center" vertical="center"/>
    </xf>
    <xf numFmtId="0" fontId="47" fillId="0" borderId="14" xfId="0" applyFont="1" applyBorder="1" applyAlignment="1">
      <alignment horizontal="left" vertical="center"/>
    </xf>
    <xf numFmtId="9" fontId="22" fillId="24" borderId="14" xfId="0" applyNumberFormat="1" applyFont="1" applyFill="1" applyBorder="1" applyAlignment="1">
      <alignment horizontal="center" vertical="center"/>
    </xf>
    <xf numFmtId="10" fontId="36" fillId="0" borderId="14" xfId="2" applyNumberFormat="1" applyFont="1" applyBorder="1" applyAlignment="1">
      <alignment horizontal="center" vertical="center" wrapText="1"/>
    </xf>
    <xf numFmtId="0" fontId="36" fillId="9" borderId="14" xfId="0" applyFont="1" applyFill="1" applyBorder="1" applyAlignment="1">
      <alignment horizontal="center" vertical="center" wrapText="1"/>
    </xf>
    <xf numFmtId="0" fontId="36" fillId="4" borderId="14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9" fontId="22" fillId="0" borderId="38" xfId="0" applyNumberFormat="1" applyFont="1" applyBorder="1" applyAlignment="1">
      <alignment horizontal="center" vertical="center" wrapText="1"/>
    </xf>
    <xf numFmtId="1" fontId="0" fillId="0" borderId="14" xfId="0" applyNumberFormat="1" applyBorder="1" applyAlignment="1">
      <alignment horizontal="center"/>
    </xf>
    <xf numFmtId="1" fontId="20" fillId="0" borderId="14" xfId="0" applyNumberFormat="1" applyFont="1" applyBorder="1" applyAlignment="1">
      <alignment horizontal="center"/>
    </xf>
    <xf numFmtId="166" fontId="36" fillId="0" borderId="14" xfId="2" applyNumberFormat="1" applyFont="1" applyBorder="1" applyAlignment="1">
      <alignment horizontal="center" vertical="center" wrapText="1"/>
    </xf>
    <xf numFmtId="9" fontId="36" fillId="0" borderId="38" xfId="0" applyNumberFormat="1" applyFont="1" applyBorder="1" applyAlignment="1">
      <alignment horizontal="center" vertical="center"/>
    </xf>
    <xf numFmtId="9" fontId="33" fillId="0" borderId="14" xfId="2" applyFont="1" applyBorder="1" applyAlignment="1">
      <alignment vertical="center"/>
    </xf>
    <xf numFmtId="0" fontId="39" fillId="0" borderId="14" xfId="0" applyFont="1" applyBorder="1" applyAlignment="1">
      <alignment horizontal="justify" vertical="center" wrapText="1"/>
    </xf>
    <xf numFmtId="0" fontId="86" fillId="25" borderId="14" xfId="0" applyFont="1" applyFill="1" applyBorder="1" applyAlignment="1">
      <alignment horizontal="center" vertical="center"/>
    </xf>
    <xf numFmtId="0" fontId="38" fillId="23" borderId="16" xfId="0" applyFont="1" applyFill="1" applyBorder="1" applyAlignment="1">
      <alignment horizontal="center" vertical="center" wrapText="1"/>
    </xf>
    <xf numFmtId="0" fontId="38" fillId="23" borderId="17" xfId="0" applyFont="1" applyFill="1" applyBorder="1" applyAlignment="1">
      <alignment horizontal="center" vertical="center" wrapText="1"/>
    </xf>
    <xf numFmtId="0" fontId="38" fillId="23" borderId="35" xfId="0" applyFont="1" applyFill="1" applyBorder="1" applyAlignment="1">
      <alignment horizontal="center" vertical="center" wrapText="1"/>
    </xf>
    <xf numFmtId="0" fontId="38" fillId="23" borderId="35" xfId="0" applyFont="1" applyFill="1" applyBorder="1" applyAlignment="1">
      <alignment vertical="center"/>
    </xf>
    <xf numFmtId="0" fontId="36" fillId="0" borderId="35" xfId="0" applyFont="1" applyBorder="1" applyAlignment="1">
      <alignment horizontal="right" vertical="center"/>
    </xf>
    <xf numFmtId="0" fontId="36" fillId="0" borderId="17" xfId="0" applyFont="1" applyBorder="1" applyAlignment="1">
      <alignment vertical="center"/>
    </xf>
    <xf numFmtId="0" fontId="36" fillId="18" borderId="35" xfId="0" applyFont="1" applyFill="1" applyBorder="1" applyAlignment="1">
      <alignment horizontal="right" vertical="center"/>
    </xf>
    <xf numFmtId="0" fontId="36" fillId="0" borderId="35" xfId="0" applyFont="1" applyBorder="1" applyAlignment="1">
      <alignment vertical="center"/>
    </xf>
    <xf numFmtId="9" fontId="36" fillId="0" borderId="35" xfId="0" applyNumberFormat="1" applyFont="1" applyBorder="1" applyAlignment="1">
      <alignment horizontal="right" vertical="center"/>
    </xf>
    <xf numFmtId="0" fontId="38" fillId="23" borderId="39" xfId="0" applyFont="1" applyFill="1" applyBorder="1" applyAlignment="1">
      <alignment horizontal="center" vertical="center" wrapText="1"/>
    </xf>
    <xf numFmtId="9" fontId="43" fillId="0" borderId="35" xfId="0" applyNumberFormat="1" applyFont="1" applyBorder="1" applyAlignment="1">
      <alignment horizontal="right" vertical="center"/>
    </xf>
    <xf numFmtId="0" fontId="43" fillId="0" borderId="35" xfId="0" applyFont="1" applyBorder="1" applyAlignment="1">
      <alignment vertical="center"/>
    </xf>
    <xf numFmtId="0" fontId="99" fillId="38" borderId="21" xfId="0" applyFont="1" applyFill="1" applyBorder="1"/>
    <xf numFmtId="0" fontId="99" fillId="38" borderId="16" xfId="0" applyFont="1" applyFill="1" applyBorder="1"/>
    <xf numFmtId="0" fontId="0" fillId="0" borderId="14" xfId="2" applyNumberFormat="1" applyFont="1" applyBorder="1"/>
    <xf numFmtId="0" fontId="48" fillId="0" borderId="14" xfId="0" applyFont="1" applyBorder="1" applyAlignment="1">
      <alignment wrapText="1"/>
    </xf>
    <xf numFmtId="10" fontId="36" fillId="0" borderId="0" xfId="0" applyNumberFormat="1" applyFont="1" applyAlignment="1">
      <alignment horizontal="center"/>
    </xf>
    <xf numFmtId="9" fontId="36" fillId="0" borderId="53" xfId="0" applyNumberFormat="1" applyFont="1" applyBorder="1" applyAlignment="1">
      <alignment horizontal="center" vertical="center" wrapText="1"/>
    </xf>
    <xf numFmtId="0" fontId="12" fillId="21" borderId="19" xfId="0" applyFont="1" applyFill="1" applyBorder="1" applyAlignment="1">
      <alignment vertical="center" wrapText="1"/>
    </xf>
    <xf numFmtId="9" fontId="22" fillId="0" borderId="70" xfId="0" applyNumberFormat="1" applyFont="1" applyBorder="1" applyAlignment="1">
      <alignment horizontal="center" vertical="center" wrapText="1"/>
    </xf>
    <xf numFmtId="9" fontId="22" fillId="0" borderId="71" xfId="0" applyNumberFormat="1" applyFont="1" applyBorder="1" applyAlignment="1">
      <alignment horizontal="center" vertical="center" wrapText="1"/>
    </xf>
    <xf numFmtId="9" fontId="36" fillId="0" borderId="72" xfId="0" applyNumberFormat="1" applyFont="1" applyBorder="1" applyAlignment="1">
      <alignment horizontal="center" vertical="center" wrapText="1"/>
    </xf>
    <xf numFmtId="0" fontId="30" fillId="5" borderId="14" xfId="0" applyFont="1" applyFill="1" applyBorder="1" applyAlignment="1">
      <alignment horizontal="center" vertical="center"/>
    </xf>
    <xf numFmtId="9" fontId="39" fillId="5" borderId="14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wrapText="1" shrinkToFit="1"/>
    </xf>
    <xf numFmtId="0" fontId="43" fillId="0" borderId="0" xfId="0" applyFont="1" applyAlignment="1">
      <alignment wrapText="1"/>
    </xf>
    <xf numFmtId="0" fontId="39" fillId="0" borderId="0" xfId="0" applyFont="1" applyAlignment="1">
      <alignment wrapText="1"/>
    </xf>
    <xf numFmtId="0" fontId="101" fillId="0" borderId="14" xfId="0" applyFont="1" applyBorder="1" applyAlignment="1">
      <alignment horizontal="left" vertical="center"/>
    </xf>
    <xf numFmtId="0" fontId="101" fillId="0" borderId="14" xfId="0" applyFont="1" applyBorder="1" applyAlignment="1">
      <alignment horizontal="justify" vertical="center"/>
    </xf>
    <xf numFmtId="0" fontId="104" fillId="0" borderId="14" xfId="0" applyFont="1" applyBorder="1" applyAlignment="1">
      <alignment horizontal="justify" vertical="center"/>
    </xf>
    <xf numFmtId="0" fontId="100" fillId="7" borderId="14" xfId="0" applyFont="1" applyFill="1" applyBorder="1" applyAlignment="1">
      <alignment horizontal="center" wrapText="1"/>
    </xf>
    <xf numFmtId="0" fontId="24" fillId="0" borderId="14" xfId="1" applyFill="1" applyBorder="1" applyAlignment="1">
      <alignment wrapText="1"/>
    </xf>
    <xf numFmtId="0" fontId="43" fillId="26" borderId="17" xfId="0" applyFont="1" applyFill="1" applyBorder="1" applyAlignment="1">
      <alignment horizontal="center" vertical="center" wrapText="1"/>
    </xf>
    <xf numFmtId="0" fontId="20" fillId="9" borderId="14" xfId="0" applyFont="1" applyFill="1" applyBorder="1"/>
    <xf numFmtId="0" fontId="38" fillId="23" borderId="39" xfId="0" applyFont="1" applyFill="1" applyBorder="1" applyAlignment="1">
      <alignment vertical="center"/>
    </xf>
    <xf numFmtId="0" fontId="36" fillId="0" borderId="39" xfId="0" applyFont="1" applyBorder="1" applyAlignment="1">
      <alignment horizontal="right" vertical="center"/>
    </xf>
    <xf numFmtId="0" fontId="20" fillId="9" borderId="24" xfId="0" applyFont="1" applyFill="1" applyBorder="1"/>
    <xf numFmtId="0" fontId="36" fillId="18" borderId="14" xfId="0" applyFont="1" applyFill="1" applyBorder="1" applyAlignment="1">
      <alignment horizontal="right" vertical="center"/>
    </xf>
    <xf numFmtId="0" fontId="0" fillId="9" borderId="14" xfId="0" applyFill="1" applyBorder="1"/>
    <xf numFmtId="0" fontId="57" fillId="0" borderId="4" xfId="0" applyFont="1" applyBorder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9" fillId="0" borderId="2" xfId="0" applyFont="1" applyBorder="1" applyAlignment="1">
      <alignment wrapText="1"/>
    </xf>
    <xf numFmtId="0" fontId="39" fillId="0" borderId="4" xfId="0" applyFont="1" applyBorder="1" applyAlignment="1">
      <alignment wrapText="1"/>
    </xf>
    <xf numFmtId="0" fontId="39" fillId="0" borderId="5" xfId="0" applyFont="1" applyBorder="1" applyAlignment="1">
      <alignment wrapText="1"/>
    </xf>
    <xf numFmtId="0" fontId="39" fillId="0" borderId="6" xfId="0" applyFont="1" applyBorder="1" applyAlignment="1">
      <alignment wrapText="1"/>
    </xf>
    <xf numFmtId="0" fontId="39" fillId="0" borderId="7" xfId="0" applyFont="1" applyBorder="1" applyAlignment="1">
      <alignment wrapText="1"/>
    </xf>
    <xf numFmtId="0" fontId="47" fillId="11" borderId="10" xfId="0" applyFont="1" applyFill="1" applyBorder="1" applyAlignment="1">
      <alignment horizontal="left" vertical="center"/>
    </xf>
    <xf numFmtId="0" fontId="39" fillId="7" borderId="12" xfId="0" applyFont="1" applyFill="1" applyBorder="1"/>
    <xf numFmtId="0" fontId="22" fillId="3" borderId="10" xfId="0" applyFont="1" applyFill="1" applyBorder="1" applyAlignment="1">
      <alignment vertical="center" wrapText="1"/>
    </xf>
    <xf numFmtId="0" fontId="39" fillId="0" borderId="11" xfId="0" applyFont="1" applyBorder="1"/>
    <xf numFmtId="0" fontId="39" fillId="0" borderId="8" xfId="0" applyFont="1" applyBorder="1"/>
    <xf numFmtId="0" fontId="39" fillId="0" borderId="7" xfId="0" applyFont="1" applyBorder="1"/>
    <xf numFmtId="0" fontId="28" fillId="0" borderId="1" xfId="0" applyFont="1" applyBorder="1" applyAlignment="1">
      <alignment horizontal="left" vertical="top" wrapText="1"/>
    </xf>
    <xf numFmtId="0" fontId="21" fillId="0" borderId="3" xfId="0" applyFont="1" applyBorder="1"/>
    <xf numFmtId="0" fontId="21" fillId="0" borderId="2" xfId="0" applyFont="1" applyBorder="1"/>
    <xf numFmtId="0" fontId="21" fillId="0" borderId="4" xfId="0" applyFont="1" applyBorder="1"/>
    <xf numFmtId="0" fontId="29" fillId="0" borderId="0" xfId="0" applyFont="1"/>
    <xf numFmtId="0" fontId="21" fillId="0" borderId="5" xfId="0" applyFont="1" applyBorder="1"/>
    <xf numFmtId="0" fontId="21" fillId="0" borderId="6" xfId="0" applyFont="1" applyBorder="1"/>
    <xf numFmtId="0" fontId="21" fillId="0" borderId="8" xfId="0" applyFont="1" applyBorder="1"/>
    <xf numFmtId="0" fontId="21" fillId="0" borderId="7" xfId="0" applyFont="1" applyBorder="1"/>
    <xf numFmtId="0" fontId="19" fillId="0" borderId="0" xfId="0" applyFont="1" applyAlignment="1">
      <alignment horizontal="right" vertical="center"/>
    </xf>
    <xf numFmtId="0" fontId="0" fillId="0" borderId="0" xfId="0"/>
    <xf numFmtId="0" fontId="39" fillId="7" borderId="11" xfId="0" applyFont="1" applyFill="1" applyBorder="1"/>
    <xf numFmtId="0" fontId="27" fillId="2" borderId="10" xfId="0" applyFont="1" applyFill="1" applyBorder="1" applyAlignment="1">
      <alignment horizontal="left" vertical="center" wrapText="1"/>
    </xf>
    <xf numFmtId="0" fontId="39" fillId="0" borderId="12" xfId="0" applyFont="1" applyBorder="1"/>
    <xf numFmtId="0" fontId="27" fillId="2" borderId="10" xfId="0" applyFont="1" applyFill="1" applyBorder="1" applyAlignment="1">
      <alignment horizontal="left" vertical="center"/>
    </xf>
    <xf numFmtId="0" fontId="35" fillId="11" borderId="10" xfId="0" applyFont="1" applyFill="1" applyBorder="1" applyAlignment="1">
      <alignment horizontal="left" vertical="center"/>
    </xf>
    <xf numFmtId="0" fontId="4" fillId="7" borderId="11" xfId="0" applyFont="1" applyFill="1" applyBorder="1"/>
    <xf numFmtId="0" fontId="4" fillId="7" borderId="12" xfId="0" applyFont="1" applyFill="1" applyBorder="1"/>
    <xf numFmtId="9" fontId="39" fillId="3" borderId="10" xfId="0" applyNumberFormat="1" applyFont="1" applyFill="1" applyBorder="1" applyAlignment="1">
      <alignment horizontal="left" vertical="center" wrapText="1"/>
    </xf>
    <xf numFmtId="0" fontId="39" fillId="0" borderId="12" xfId="0" applyFont="1" applyBorder="1" applyAlignment="1">
      <alignment horizontal="left"/>
    </xf>
    <xf numFmtId="0" fontId="47" fillId="11" borderId="10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vertical="center" wrapText="1"/>
    </xf>
    <xf numFmtId="0" fontId="23" fillId="0" borderId="3" xfId="0" applyFont="1" applyBorder="1"/>
    <xf numFmtId="0" fontId="23" fillId="0" borderId="2" xfId="0" applyFont="1" applyBorder="1"/>
    <xf numFmtId="0" fontId="78" fillId="0" borderId="10" xfId="0" applyFont="1" applyBorder="1" applyAlignment="1">
      <alignment horizontal="center" vertical="center"/>
    </xf>
    <xf numFmtId="0" fontId="79" fillId="0" borderId="10" xfId="0" applyFont="1" applyBorder="1" applyAlignment="1">
      <alignment horizontal="center" vertical="center"/>
    </xf>
    <xf numFmtId="0" fontId="23" fillId="3" borderId="10" xfId="0" applyFont="1" applyFill="1" applyBorder="1" applyAlignment="1">
      <alignment vertical="center" wrapText="1"/>
    </xf>
    <xf numFmtId="0" fontId="23" fillId="0" borderId="11" xfId="0" applyFont="1" applyBorder="1"/>
    <xf numFmtId="0" fontId="23" fillId="0" borderId="12" xfId="0" applyFont="1" applyBorder="1"/>
    <xf numFmtId="9" fontId="22" fillId="3" borderId="10" xfId="0" applyNumberFormat="1" applyFont="1" applyFill="1" applyBorder="1" applyAlignment="1">
      <alignment horizontal="left" vertical="center" wrapText="1"/>
    </xf>
    <xf numFmtId="0" fontId="39" fillId="0" borderId="10" xfId="0" applyFont="1" applyBorder="1" applyAlignment="1">
      <alignment horizontal="left"/>
    </xf>
    <xf numFmtId="0" fontId="39" fillId="0" borderId="11" xfId="0" applyFont="1" applyBorder="1" applyAlignment="1">
      <alignment horizontal="left"/>
    </xf>
    <xf numFmtId="0" fontId="84" fillId="0" borderId="1" xfId="0" applyFont="1" applyBorder="1" applyAlignment="1">
      <alignment horizontal="left" vertical="top" wrapText="1"/>
    </xf>
    <xf numFmtId="0" fontId="39" fillId="0" borderId="3" xfId="0" applyFont="1" applyBorder="1"/>
    <xf numFmtId="0" fontId="39" fillId="0" borderId="2" xfId="0" applyFont="1" applyBorder="1"/>
    <xf numFmtId="0" fontId="39" fillId="0" borderId="4" xfId="0" applyFont="1" applyBorder="1"/>
    <xf numFmtId="0" fontId="39" fillId="0" borderId="0" xfId="0" applyFont="1"/>
    <xf numFmtId="0" fontId="39" fillId="0" borderId="5" xfId="0" applyFont="1" applyBorder="1"/>
    <xf numFmtId="0" fontId="39" fillId="0" borderId="6" xfId="0" applyFont="1" applyBorder="1"/>
    <xf numFmtId="0" fontId="39" fillId="3" borderId="10" xfId="0" applyFont="1" applyFill="1" applyBorder="1" applyAlignment="1">
      <alignment vertical="center" wrapText="1"/>
    </xf>
    <xf numFmtId="0" fontId="47" fillId="2" borderId="10" xfId="0" applyFont="1" applyFill="1" applyBorder="1" applyAlignment="1">
      <alignment horizontal="left" vertical="center" wrapText="1"/>
    </xf>
    <xf numFmtId="0" fontId="47" fillId="2" borderId="10" xfId="0" applyFont="1" applyFill="1" applyBorder="1" applyAlignment="1">
      <alignment horizontal="left" vertical="center"/>
    </xf>
    <xf numFmtId="0" fontId="39" fillId="3" borderId="12" xfId="0" applyFont="1" applyFill="1" applyBorder="1" applyAlignment="1">
      <alignment vertical="center" wrapText="1"/>
    </xf>
    <xf numFmtId="0" fontId="85" fillId="0" borderId="10" xfId="0" applyFont="1" applyBorder="1" applyAlignment="1">
      <alignment horizontal="center" vertical="center"/>
    </xf>
    <xf numFmtId="9" fontId="39" fillId="3" borderId="10" xfId="0" applyNumberFormat="1" applyFont="1" applyFill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0" fontId="38" fillId="21" borderId="45" xfId="0" applyFont="1" applyFill="1" applyBorder="1" applyAlignment="1">
      <alignment horizontal="left" vertical="center" wrapText="1"/>
    </xf>
    <xf numFmtId="0" fontId="38" fillId="21" borderId="46" xfId="0" applyFont="1" applyFill="1" applyBorder="1" applyAlignment="1">
      <alignment horizontal="left" vertical="center" wrapText="1"/>
    </xf>
    <xf numFmtId="0" fontId="36" fillId="0" borderId="14" xfId="0" applyFont="1" applyBorder="1" applyAlignment="1">
      <alignment horizontal="center" vertical="center" wrapText="1"/>
    </xf>
    <xf numFmtId="0" fontId="39" fillId="2" borderId="14" xfId="0" applyFont="1" applyFill="1" applyBorder="1" applyAlignment="1">
      <alignment horizontal="center" vertical="center"/>
    </xf>
    <xf numFmtId="0" fontId="39" fillId="0" borderId="14" xfId="0" applyFont="1" applyBorder="1" applyAlignment="1">
      <alignment horizontal="center"/>
    </xf>
    <xf numFmtId="0" fontId="47" fillId="2" borderId="14" xfId="0" applyFont="1" applyFill="1" applyBorder="1" applyAlignment="1">
      <alignment vertical="center"/>
    </xf>
    <xf numFmtId="0" fontId="39" fillId="0" borderId="14" xfId="0" applyFont="1" applyBorder="1"/>
    <xf numFmtId="0" fontId="39" fillId="0" borderId="40" xfId="0" applyFont="1" applyBorder="1" applyAlignment="1">
      <alignment horizontal="center"/>
    </xf>
    <xf numFmtId="0" fontId="39" fillId="0" borderId="41" xfId="0" applyFont="1" applyBorder="1" applyAlignment="1">
      <alignment horizontal="center"/>
    </xf>
    <xf numFmtId="0" fontId="41" fillId="0" borderId="1" xfId="0" applyFont="1" applyBorder="1" applyAlignment="1">
      <alignment horizontal="left" vertical="top" wrapText="1"/>
    </xf>
    <xf numFmtId="0" fontId="4" fillId="0" borderId="3" xfId="0" applyFont="1" applyBorder="1"/>
    <xf numFmtId="0" fontId="4" fillId="0" borderId="2" xfId="0" applyFont="1" applyBorder="1"/>
    <xf numFmtId="0" fontId="4" fillId="0" borderId="4" xfId="0" applyFont="1" applyBorder="1"/>
    <xf numFmtId="0" fontId="26" fillId="0" borderId="0" xfId="0" applyFont="1"/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7" xfId="0" applyFont="1" applyBorder="1"/>
    <xf numFmtId="0" fontId="47" fillId="2" borderId="19" xfId="0" applyFont="1" applyFill="1" applyBorder="1" applyAlignment="1">
      <alignment vertical="center"/>
    </xf>
    <xf numFmtId="0" fontId="47" fillId="2" borderId="15" xfId="0" applyFont="1" applyFill="1" applyBorder="1" applyAlignment="1">
      <alignment vertical="center"/>
    </xf>
    <xf numFmtId="0" fontId="39" fillId="2" borderId="19" xfId="0" applyFont="1" applyFill="1" applyBorder="1" applyAlignment="1">
      <alignment horizontal="center" vertical="center"/>
    </xf>
    <xf numFmtId="0" fontId="39" fillId="2" borderId="15" xfId="0" applyFont="1" applyFill="1" applyBorder="1" applyAlignment="1">
      <alignment horizontal="center" vertical="center"/>
    </xf>
    <xf numFmtId="0" fontId="35" fillId="11" borderId="4" xfId="0" applyFont="1" applyFill="1" applyBorder="1" applyAlignment="1">
      <alignment horizontal="center" vertical="center"/>
    </xf>
    <xf numFmtId="0" fontId="35" fillId="11" borderId="0" xfId="0" applyFont="1" applyFill="1" applyAlignment="1">
      <alignment horizontal="center" vertical="center"/>
    </xf>
    <xf numFmtId="0" fontId="47" fillId="11" borderId="1" xfId="0" applyFont="1" applyFill="1" applyBorder="1" applyAlignment="1">
      <alignment horizontal="left" vertical="center"/>
    </xf>
    <xf numFmtId="0" fontId="39" fillId="7" borderId="3" xfId="0" applyFont="1" applyFill="1" applyBorder="1"/>
    <xf numFmtId="0" fontId="82" fillId="11" borderId="10" xfId="0" applyFont="1" applyFill="1" applyBorder="1" applyAlignment="1">
      <alignment horizontal="left" vertical="center" wrapText="1"/>
    </xf>
    <xf numFmtId="0" fontId="23" fillId="7" borderId="11" xfId="0" applyFont="1" applyFill="1" applyBorder="1"/>
    <xf numFmtId="0" fontId="36" fillId="0" borderId="19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30" xfId="0" applyBorder="1" applyAlignment="1">
      <alignment horizontal="center"/>
    </xf>
    <xf numFmtId="0" fontId="22" fillId="3" borderId="14" xfId="0" applyFont="1" applyFill="1" applyBorder="1" applyAlignment="1">
      <alignment horizontal="left" vertical="center" wrapText="1"/>
    </xf>
    <xf numFmtId="0" fontId="36" fillId="0" borderId="20" xfId="0" applyFont="1" applyBorder="1" applyAlignment="1">
      <alignment horizontal="center" vertical="center" wrapText="1"/>
    </xf>
    <xf numFmtId="0" fontId="47" fillId="11" borderId="19" xfId="0" applyFont="1" applyFill="1" applyBorder="1" applyAlignment="1">
      <alignment horizontal="left" vertical="center"/>
    </xf>
    <xf numFmtId="0" fontId="39" fillId="7" borderId="20" xfId="0" applyFont="1" applyFill="1" applyBorder="1"/>
    <xf numFmtId="0" fontId="47" fillId="27" borderId="14" xfId="0" applyFont="1" applyFill="1" applyBorder="1" applyAlignment="1">
      <alignment horizontal="left" vertical="center"/>
    </xf>
    <xf numFmtId="0" fontId="39" fillId="16" borderId="14" xfId="0" applyFont="1" applyFill="1" applyBorder="1"/>
    <xf numFmtId="0" fontId="36" fillId="0" borderId="22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51" fillId="0" borderId="10" xfId="0" applyFont="1" applyBorder="1" applyAlignment="1">
      <alignment horizontal="center" vertical="center"/>
    </xf>
    <xf numFmtId="0" fontId="8" fillId="3" borderId="10" xfId="0" applyFont="1" applyFill="1" applyBorder="1" applyAlignment="1">
      <alignment vertical="center" wrapText="1"/>
    </xf>
    <xf numFmtId="0" fontId="13" fillId="3" borderId="10" xfId="0" applyFont="1" applyFill="1" applyBorder="1" applyAlignment="1">
      <alignment vertical="center" wrapText="1"/>
    </xf>
    <xf numFmtId="0" fontId="14" fillId="0" borderId="12" xfId="0" applyFont="1" applyBorder="1"/>
    <xf numFmtId="0" fontId="11" fillId="11" borderId="10" xfId="0" applyFont="1" applyFill="1" applyBorder="1" applyAlignment="1">
      <alignment horizontal="left" vertical="center" wrapText="1"/>
    </xf>
    <xf numFmtId="0" fontId="14" fillId="7" borderId="12" xfId="0" applyFont="1" applyFill="1" applyBorder="1"/>
    <xf numFmtId="0" fontId="13" fillId="3" borderId="1" xfId="0" applyFont="1" applyFill="1" applyBorder="1" applyAlignment="1">
      <alignment vertical="center" wrapText="1"/>
    </xf>
    <xf numFmtId="0" fontId="14" fillId="0" borderId="3" xfId="0" applyFont="1" applyBorder="1"/>
    <xf numFmtId="0" fontId="14" fillId="0" borderId="2" xfId="0" applyFont="1" applyBorder="1"/>
    <xf numFmtId="0" fontId="35" fillId="11" borderId="11" xfId="0" applyFont="1" applyFill="1" applyBorder="1" applyAlignment="1">
      <alignment horizontal="left" vertical="center"/>
    </xf>
    <xf numFmtId="0" fontId="41" fillId="0" borderId="3" xfId="0" applyFont="1" applyBorder="1" applyAlignment="1">
      <alignment horizontal="left" vertical="top" wrapText="1"/>
    </xf>
    <xf numFmtId="0" fontId="21" fillId="0" borderId="0" xfId="0" applyFont="1"/>
    <xf numFmtId="0" fontId="35" fillId="2" borderId="14" xfId="0" applyFont="1" applyFill="1" applyBorder="1" applyAlignment="1">
      <alignment horizontal="left" vertical="center"/>
    </xf>
    <xf numFmtId="0" fontId="4" fillId="0" borderId="19" xfId="0" applyFont="1" applyBorder="1"/>
    <xf numFmtId="9" fontId="18" fillId="6" borderId="14" xfId="0" applyNumberFormat="1" applyFont="1" applyFill="1" applyBorder="1" applyAlignment="1">
      <alignment horizontal="center"/>
    </xf>
    <xf numFmtId="9" fontId="18" fillId="6" borderId="19" xfId="0" applyNumberFormat="1" applyFont="1" applyFill="1" applyBorder="1" applyAlignment="1">
      <alignment horizontal="center"/>
    </xf>
    <xf numFmtId="0" fontId="36" fillId="7" borderId="14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2" fillId="7" borderId="19" xfId="0" applyFont="1" applyFill="1" applyBorder="1" applyAlignment="1">
      <alignment horizontal="center" vertical="center" wrapText="1"/>
    </xf>
    <xf numFmtId="0" fontId="22" fillId="7" borderId="15" xfId="0" applyFont="1" applyFill="1" applyBorder="1" applyAlignment="1">
      <alignment horizontal="center" vertical="center" wrapText="1"/>
    </xf>
    <xf numFmtId="0" fontId="27" fillId="7" borderId="19" xfId="0" applyFont="1" applyFill="1" applyBorder="1" applyAlignment="1">
      <alignment horizontal="left" vertical="center" wrapText="1"/>
    </xf>
    <xf numFmtId="0" fontId="27" fillId="7" borderId="15" xfId="0" applyFont="1" applyFill="1" applyBorder="1" applyAlignment="1">
      <alignment horizontal="left" vertical="center" wrapText="1"/>
    </xf>
    <xf numFmtId="0" fontId="78" fillId="0" borderId="10" xfId="0" applyFont="1" applyBorder="1" applyAlignment="1">
      <alignment horizontal="left" vertical="center"/>
    </xf>
    <xf numFmtId="0" fontId="39" fillId="0" borderId="11" xfId="0" applyFont="1" applyBorder="1" applyAlignment="1">
      <alignment horizontal="left" vertical="center"/>
    </xf>
    <xf numFmtId="0" fontId="39" fillId="0" borderId="12" xfId="0" applyFont="1" applyBorder="1" applyAlignment="1">
      <alignment horizontal="left" vertical="center"/>
    </xf>
    <xf numFmtId="0" fontId="79" fillId="0" borderId="10" xfId="0" applyFont="1" applyBorder="1" applyAlignment="1">
      <alignment horizontal="left" vertical="center"/>
    </xf>
    <xf numFmtId="0" fontId="39" fillId="7" borderId="12" xfId="0" applyFont="1" applyFill="1" applyBorder="1" applyAlignment="1">
      <alignment horizontal="left" vertical="center"/>
    </xf>
    <xf numFmtId="0" fontId="22" fillId="3" borderId="10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39" fillId="0" borderId="3" xfId="0" applyFont="1" applyBorder="1" applyAlignment="1">
      <alignment horizontal="left" vertical="center"/>
    </xf>
    <xf numFmtId="0" fontId="39" fillId="0" borderId="2" xfId="0" applyFont="1" applyBorder="1" applyAlignment="1">
      <alignment horizontal="left" vertical="center"/>
    </xf>
    <xf numFmtId="0" fontId="39" fillId="7" borderId="11" xfId="0" applyFont="1" applyFill="1" applyBorder="1" applyAlignment="1">
      <alignment horizontal="left" vertical="center"/>
    </xf>
    <xf numFmtId="0" fontId="41" fillId="0" borderId="0" xfId="0" applyFont="1" applyAlignment="1">
      <alignment horizontal="left" vertical="top" wrapText="1"/>
    </xf>
    <xf numFmtId="0" fontId="27" fillId="2" borderId="14" xfId="0" applyFont="1" applyFill="1" applyBorder="1" applyAlignment="1">
      <alignment horizontal="left" vertical="center" wrapText="1"/>
    </xf>
    <xf numFmtId="0" fontId="39" fillId="0" borderId="14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top" wrapText="1"/>
    </xf>
    <xf numFmtId="0" fontId="14" fillId="0" borderId="4" xfId="0" applyFont="1" applyBorder="1"/>
    <xf numFmtId="0" fontId="59" fillId="0" borderId="0" xfId="0" applyFont="1"/>
    <xf numFmtId="0" fontId="14" fillId="0" borderId="5" xfId="0" applyFont="1" applyBorder="1"/>
    <xf numFmtId="0" fontId="14" fillId="0" borderId="6" xfId="0" applyFont="1" applyBorder="1"/>
    <xf numFmtId="0" fontId="14" fillId="0" borderId="8" xfId="0" applyFont="1" applyBorder="1"/>
    <xf numFmtId="0" fontId="14" fillId="0" borderId="7" xfId="0" applyFont="1" applyBorder="1"/>
    <xf numFmtId="9" fontId="46" fillId="6" borderId="14" xfId="0" applyNumberFormat="1" applyFont="1" applyFill="1" applyBorder="1" applyAlignment="1">
      <alignment horizontal="center"/>
    </xf>
    <xf numFmtId="0" fontId="22" fillId="7" borderId="14" xfId="0" applyFont="1" applyFill="1" applyBorder="1" applyAlignment="1">
      <alignment horizontal="center" vertical="center" wrapText="1"/>
    </xf>
    <xf numFmtId="0" fontId="47" fillId="2" borderId="14" xfId="0" applyFont="1" applyFill="1" applyBorder="1" applyAlignment="1">
      <alignment horizontal="left" vertical="center"/>
    </xf>
    <xf numFmtId="0" fontId="47" fillId="0" borderId="14" xfId="0" applyFont="1" applyBorder="1" applyAlignment="1">
      <alignment horizontal="left"/>
    </xf>
    <xf numFmtId="0" fontId="8" fillId="3" borderId="10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9" fontId="8" fillId="3" borderId="10" xfId="0" applyNumberFormat="1" applyFont="1" applyFill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/>
    </xf>
    <xf numFmtId="0" fontId="50" fillId="11" borderId="10" xfId="0" applyFont="1" applyFill="1" applyBorder="1" applyAlignment="1">
      <alignment horizontal="left" vertical="center" wrapText="1"/>
    </xf>
    <xf numFmtId="0" fontId="13" fillId="3" borderId="14" xfId="0" applyFont="1" applyFill="1" applyBorder="1" applyAlignment="1">
      <alignment vertical="center" wrapText="1"/>
    </xf>
    <xf numFmtId="0" fontId="14" fillId="0" borderId="14" xfId="0" applyFont="1" applyBorder="1"/>
    <xf numFmtId="0" fontId="4" fillId="0" borderId="14" xfId="0" applyFont="1" applyBorder="1"/>
    <xf numFmtId="9" fontId="8" fillId="3" borderId="10" xfId="0" applyNumberFormat="1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0" fontId="14" fillId="0" borderId="24" xfId="0" applyFont="1" applyBorder="1"/>
    <xf numFmtId="0" fontId="15" fillId="0" borderId="3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top" wrapText="1"/>
    </xf>
    <xf numFmtId="0" fontId="13" fillId="3" borderId="25" xfId="0" applyFont="1" applyFill="1" applyBorder="1" applyAlignment="1">
      <alignment vertical="center" wrapText="1"/>
    </xf>
    <xf numFmtId="0" fontId="14" fillId="0" borderId="26" xfId="0" applyFont="1" applyBorder="1"/>
    <xf numFmtId="0" fontId="14" fillId="0" borderId="27" xfId="0" applyFont="1" applyBorder="1"/>
    <xf numFmtId="0" fontId="8" fillId="3" borderId="11" xfId="0" applyFont="1" applyFill="1" applyBorder="1" applyAlignment="1">
      <alignment vertical="center" wrapText="1"/>
    </xf>
    <xf numFmtId="0" fontId="8" fillId="3" borderId="12" xfId="0" applyFont="1" applyFill="1" applyBorder="1" applyAlignment="1">
      <alignment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wrapText="1"/>
    </xf>
    <xf numFmtId="0" fontId="20" fillId="0" borderId="19" xfId="0" applyFont="1" applyBorder="1" applyAlignment="1">
      <alignment horizontal="center" wrapText="1"/>
    </xf>
    <xf numFmtId="0" fontId="22" fillId="0" borderId="15" xfId="0" applyFont="1" applyBorder="1" applyAlignment="1">
      <alignment horizontal="center" vertical="center" wrapText="1"/>
    </xf>
    <xf numFmtId="0" fontId="22" fillId="25" borderId="19" xfId="0" applyFont="1" applyFill="1" applyBorder="1" applyAlignment="1">
      <alignment horizontal="center" vertical="center" wrapText="1"/>
    </xf>
    <xf numFmtId="0" fontId="22" fillId="25" borderId="15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top" wrapText="1"/>
    </xf>
    <xf numFmtId="0" fontId="41" fillId="0" borderId="3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4" xfId="0" applyFont="1" applyBorder="1" applyAlignment="1">
      <alignment horizontal="center" vertical="top" wrapText="1"/>
    </xf>
    <xf numFmtId="0" fontId="41" fillId="0" borderId="0" xfId="0" applyFont="1" applyAlignment="1">
      <alignment horizontal="center" vertical="top" wrapText="1"/>
    </xf>
    <xf numFmtId="0" fontId="41" fillId="0" borderId="5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4" fillId="0" borderId="0" xfId="0" applyFont="1"/>
    <xf numFmtId="0" fontId="14" fillId="0" borderId="11" xfId="0" applyFont="1" applyBorder="1"/>
    <xf numFmtId="0" fontId="22" fillId="0" borderId="14" xfId="0" applyFont="1" applyBorder="1" applyAlignment="1">
      <alignment vertical="center" wrapText="1"/>
    </xf>
    <xf numFmtId="0" fontId="22" fillId="0" borderId="14" xfId="0" applyFont="1" applyBorder="1" applyAlignment="1">
      <alignment wrapText="1"/>
    </xf>
    <xf numFmtId="0" fontId="22" fillId="0" borderId="14" xfId="0" applyFont="1" applyBorder="1" applyAlignment="1">
      <alignment horizontal="left" vertical="center" wrapText="1"/>
    </xf>
    <xf numFmtId="0" fontId="60" fillId="16" borderId="14" xfId="0" applyFont="1" applyFill="1" applyBorder="1" applyAlignment="1">
      <alignment horizontal="left" vertical="center"/>
    </xf>
    <xf numFmtId="0" fontId="36" fillId="0" borderId="14" xfId="0" applyFont="1" applyBorder="1" applyAlignment="1">
      <alignment horizontal="center"/>
    </xf>
    <xf numFmtId="0" fontId="28" fillId="9" borderId="0" xfId="0" applyFont="1" applyFill="1" applyAlignment="1">
      <alignment horizontal="left" vertical="top" wrapText="1"/>
    </xf>
    <xf numFmtId="0" fontId="14" fillId="0" borderId="4" xfId="0" applyFont="1" applyBorder="1" applyAlignment="1">
      <alignment horizontal="center" wrapText="1"/>
    </xf>
    <xf numFmtId="0" fontId="33" fillId="3" borderId="10" xfId="0" applyFont="1" applyFill="1" applyBorder="1" applyAlignment="1">
      <alignment vertical="center" wrapText="1"/>
    </xf>
    <xf numFmtId="0" fontId="35" fillId="30" borderId="10" xfId="0" applyFont="1" applyFill="1" applyBorder="1" applyAlignment="1">
      <alignment horizontal="left" vertical="center"/>
    </xf>
    <xf numFmtId="0" fontId="4" fillId="9" borderId="11" xfId="0" applyFont="1" applyFill="1" applyBorder="1"/>
    <xf numFmtId="0" fontId="4" fillId="9" borderId="12" xfId="0" applyFont="1" applyFill="1" applyBorder="1"/>
    <xf numFmtId="0" fontId="35" fillId="11" borderId="1" xfId="0" applyFont="1" applyFill="1" applyBorder="1" applyAlignment="1">
      <alignment horizontal="left" vertical="center"/>
    </xf>
    <xf numFmtId="0" fontId="4" fillId="7" borderId="3" xfId="0" applyFont="1" applyFill="1" applyBorder="1"/>
    <xf numFmtId="0" fontId="36" fillId="4" borderId="14" xfId="0" applyFont="1" applyFill="1" applyBorder="1" applyAlignment="1">
      <alignment horizontal="center" vertical="center" wrapText="1"/>
    </xf>
    <xf numFmtId="0" fontId="38" fillId="21" borderId="14" xfId="0" applyFont="1" applyFill="1" applyBorder="1" applyAlignment="1">
      <alignment horizontal="center" vertical="center"/>
    </xf>
    <xf numFmtId="0" fontId="27" fillId="0" borderId="50" xfId="0" applyFont="1" applyBorder="1" applyAlignment="1">
      <alignment horizontal="center" vertical="center" wrapText="1"/>
    </xf>
    <xf numFmtId="0" fontId="27" fillId="0" borderId="51" xfId="0" applyFont="1" applyBorder="1" applyAlignment="1">
      <alignment horizontal="center" vertical="center" wrapText="1"/>
    </xf>
    <xf numFmtId="0" fontId="12" fillId="21" borderId="37" xfId="0" applyFont="1" applyFill="1" applyBorder="1" applyAlignment="1">
      <alignment vertical="center" wrapText="1"/>
    </xf>
    <xf numFmtId="0" fontId="12" fillId="21" borderId="52" xfId="0" applyFont="1" applyFill="1" applyBorder="1" applyAlignment="1">
      <alignment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9" fontId="8" fillId="3" borderId="10" xfId="0" applyNumberFormat="1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left"/>
    </xf>
    <xf numFmtId="0" fontId="8" fillId="3" borderId="10" xfId="0" applyFont="1" applyFill="1" applyBorder="1" applyAlignment="1">
      <alignment horizontal="left" vertical="top" wrapText="1"/>
    </xf>
    <xf numFmtId="0" fontId="22" fillId="0" borderId="5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27" fillId="8" borderId="14" xfId="0" applyFont="1" applyFill="1" applyBorder="1" applyAlignment="1">
      <alignment horizontal="center" vertical="center" wrapText="1"/>
    </xf>
    <xf numFmtId="10" fontId="46" fillId="6" borderId="22" xfId="0" applyNumberFormat="1" applyFont="1" applyFill="1" applyBorder="1" applyAlignment="1">
      <alignment horizontal="center"/>
    </xf>
    <xf numFmtId="10" fontId="46" fillId="6" borderId="23" xfId="0" applyNumberFormat="1" applyFont="1" applyFill="1" applyBorder="1" applyAlignment="1">
      <alignment horizontal="center"/>
    </xf>
    <xf numFmtId="9" fontId="35" fillId="2" borderId="14" xfId="0" applyNumberFormat="1" applyFont="1" applyFill="1" applyBorder="1" applyAlignment="1">
      <alignment horizontal="left" vertical="center"/>
    </xf>
    <xf numFmtId="0" fontId="27" fillId="0" borderId="14" xfId="0" applyFont="1" applyBorder="1" applyAlignment="1">
      <alignment horizontal="center" vertical="center" wrapText="1"/>
    </xf>
    <xf numFmtId="2" fontId="46" fillId="6" borderId="14" xfId="0" applyNumberFormat="1" applyFont="1" applyFill="1" applyBorder="1" applyAlignment="1">
      <alignment horizontal="center"/>
    </xf>
    <xf numFmtId="0" fontId="19" fillId="20" borderId="14" xfId="0" applyFont="1" applyFill="1" applyBorder="1" applyAlignment="1">
      <alignment horizontal="center" vertical="center" textRotation="90" wrapText="1"/>
    </xf>
    <xf numFmtId="0" fontId="22" fillId="20" borderId="14" xfId="0" applyFont="1" applyFill="1" applyBorder="1" applyAlignment="1">
      <alignment horizontal="center" vertical="center" wrapText="1"/>
    </xf>
    <xf numFmtId="0" fontId="20" fillId="19" borderId="14" xfId="0" applyFont="1" applyFill="1" applyBorder="1" applyAlignment="1">
      <alignment horizontal="center" vertical="center" textRotation="90"/>
    </xf>
    <xf numFmtId="0" fontId="0" fillId="19" borderId="14" xfId="0" applyFill="1" applyBorder="1" applyAlignment="1">
      <alignment horizontal="center" vertical="center" textRotation="90"/>
    </xf>
    <xf numFmtId="0" fontId="22" fillId="15" borderId="14" xfId="0" applyFont="1" applyFill="1" applyBorder="1" applyAlignment="1">
      <alignment horizontal="center" vertical="center" wrapText="1"/>
    </xf>
    <xf numFmtId="0" fontId="20" fillId="15" borderId="14" xfId="0" applyFont="1" applyFill="1" applyBorder="1" applyAlignment="1">
      <alignment horizontal="center" vertical="center" textRotation="90"/>
    </xf>
    <xf numFmtId="0" fontId="0" fillId="15" borderId="14" xfId="0" applyFill="1" applyBorder="1" applyAlignment="1">
      <alignment horizontal="center" vertical="center" textRotation="90"/>
    </xf>
    <xf numFmtId="0" fontId="22" fillId="19" borderId="14" xfId="0" applyFont="1" applyFill="1" applyBorder="1" applyAlignment="1">
      <alignment horizontal="center" vertical="center" wrapText="1"/>
    </xf>
    <xf numFmtId="0" fontId="22" fillId="10" borderId="14" xfId="0" applyFont="1" applyFill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top" wrapText="1"/>
    </xf>
    <xf numFmtId="0" fontId="41" fillId="0" borderId="8" xfId="0" applyFont="1" applyBorder="1" applyAlignment="1">
      <alignment horizontal="center" vertical="top" wrapText="1"/>
    </xf>
    <xf numFmtId="0" fontId="41" fillId="0" borderId="7" xfId="0" applyFont="1" applyBorder="1" applyAlignment="1">
      <alignment horizontal="center" vertical="top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33" fillId="0" borderId="14" xfId="0" applyFont="1" applyBorder="1" applyAlignment="1">
      <alignment horizontal="center"/>
    </xf>
    <xf numFmtId="2" fontId="18" fillId="6" borderId="14" xfId="0" applyNumberFormat="1" applyFont="1" applyFill="1" applyBorder="1" applyAlignment="1">
      <alignment horizontal="center"/>
    </xf>
    <xf numFmtId="9" fontId="8" fillId="3" borderId="10" xfId="0" applyNumberFormat="1" applyFont="1" applyFill="1" applyBorder="1" applyAlignment="1">
      <alignment horizontal="center" vertical="center" wrapText="1"/>
    </xf>
    <xf numFmtId="0" fontId="93" fillId="35" borderId="50" xfId="0" applyFont="1" applyFill="1" applyBorder="1" applyAlignment="1">
      <alignment horizontal="center" vertical="center"/>
    </xf>
    <xf numFmtId="0" fontId="93" fillId="35" borderId="18" xfId="0" applyFont="1" applyFill="1" applyBorder="1" applyAlignment="1">
      <alignment horizontal="center" vertical="center"/>
    </xf>
    <xf numFmtId="9" fontId="94" fillId="0" borderId="37" xfId="0" applyNumberFormat="1" applyFont="1" applyBorder="1" applyAlignment="1">
      <alignment horizontal="center" vertical="center"/>
    </xf>
    <xf numFmtId="9" fontId="94" fillId="0" borderId="62" xfId="0" applyNumberFormat="1" applyFont="1" applyBorder="1" applyAlignment="1">
      <alignment horizontal="center" vertical="center"/>
    </xf>
    <xf numFmtId="9" fontId="94" fillId="0" borderId="60" xfId="0" applyNumberFormat="1" applyFont="1" applyBorder="1" applyAlignment="1">
      <alignment horizontal="center" vertical="center"/>
    </xf>
    <xf numFmtId="0" fontId="68" fillId="23" borderId="50" xfId="0" applyFont="1" applyFill="1" applyBorder="1" applyAlignment="1">
      <alignment horizontal="center" vertical="center" wrapText="1"/>
    </xf>
    <xf numFmtId="0" fontId="68" fillId="23" borderId="61" xfId="0" applyFont="1" applyFill="1" applyBorder="1" applyAlignment="1">
      <alignment horizontal="center" vertical="center" wrapText="1"/>
    </xf>
    <xf numFmtId="0" fontId="68" fillId="23" borderId="18" xfId="0" applyFont="1" applyFill="1" applyBorder="1" applyAlignment="1">
      <alignment horizontal="center" vertical="center" wrapText="1"/>
    </xf>
    <xf numFmtId="9" fontId="95" fillId="0" borderId="63" xfId="0" applyNumberFormat="1" applyFont="1" applyBorder="1" applyAlignment="1">
      <alignment horizontal="center" vertical="center"/>
    </xf>
    <xf numFmtId="9" fontId="95" fillId="0" borderId="65" xfId="0" applyNumberFormat="1" applyFont="1" applyBorder="1" applyAlignment="1">
      <alignment horizontal="center" vertical="center"/>
    </xf>
    <xf numFmtId="9" fontId="95" fillId="0" borderId="64" xfId="0" applyNumberFormat="1" applyFont="1" applyBorder="1" applyAlignment="1">
      <alignment horizontal="center" vertical="center"/>
    </xf>
    <xf numFmtId="0" fontId="36" fillId="0" borderId="50" xfId="0" applyFont="1" applyBorder="1" applyAlignment="1">
      <alignment horizontal="center" vertical="center"/>
    </xf>
    <xf numFmtId="0" fontId="36" fillId="0" borderId="61" xfId="0" applyFont="1" applyBorder="1" applyAlignment="1">
      <alignment horizontal="center" vertical="center"/>
    </xf>
    <xf numFmtId="0" fontId="36" fillId="0" borderId="51" xfId="0" applyFont="1" applyBorder="1" applyAlignment="1">
      <alignment horizontal="center" vertical="center"/>
    </xf>
    <xf numFmtId="0" fontId="36" fillId="0" borderId="69" xfId="0" applyFont="1" applyBorder="1" applyAlignment="1">
      <alignment horizontal="center" vertical="center"/>
    </xf>
    <xf numFmtId="0" fontId="38" fillId="23" borderId="50" xfId="0" applyFont="1" applyFill="1" applyBorder="1" applyAlignment="1">
      <alignment horizontal="center" vertical="center" wrapText="1"/>
    </xf>
    <xf numFmtId="0" fontId="38" fillId="23" borderId="61" xfId="0" applyFont="1" applyFill="1" applyBorder="1" applyAlignment="1">
      <alignment horizontal="center" vertical="center" wrapText="1"/>
    </xf>
    <xf numFmtId="0" fontId="38" fillId="23" borderId="18" xfId="0" applyFont="1" applyFill="1" applyBorder="1" applyAlignment="1">
      <alignment horizontal="center" vertical="center" wrapText="1"/>
    </xf>
    <xf numFmtId="10" fontId="18" fillId="6" borderId="14" xfId="0" applyNumberFormat="1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3" fillId="3" borderId="1" xfId="0" applyFont="1" applyFill="1" applyBorder="1" applyAlignment="1">
      <alignment vertical="center" wrapText="1"/>
    </xf>
    <xf numFmtId="0" fontId="35" fillId="30" borderId="0" xfId="0" applyFont="1" applyFill="1" applyAlignment="1">
      <alignment horizontal="left" vertical="center"/>
    </xf>
    <xf numFmtId="0" fontId="4" fillId="9" borderId="0" xfId="0" applyFont="1" applyFill="1"/>
    <xf numFmtId="0" fontId="33" fillId="3" borderId="25" xfId="0" applyFont="1" applyFill="1" applyBorder="1" applyAlignment="1">
      <alignment vertical="center" wrapText="1"/>
    </xf>
    <xf numFmtId="0" fontId="4" fillId="0" borderId="27" xfId="0" applyFont="1" applyBorder="1"/>
    <xf numFmtId="0" fontId="8" fillId="3" borderId="4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96" fillId="4" borderId="50" xfId="0" applyFont="1" applyFill="1" applyBorder="1" applyAlignment="1">
      <alignment horizontal="center" vertical="center"/>
    </xf>
    <xf numFmtId="0" fontId="96" fillId="4" borderId="61" xfId="0" applyFont="1" applyFill="1" applyBorder="1" applyAlignment="1">
      <alignment horizontal="center" vertical="center"/>
    </xf>
    <xf numFmtId="0" fontId="96" fillId="4" borderId="51" xfId="0" applyFont="1" applyFill="1" applyBorder="1" applyAlignment="1">
      <alignment horizontal="center" vertical="center"/>
    </xf>
    <xf numFmtId="0" fontId="97" fillId="23" borderId="56" xfId="0" applyFont="1" applyFill="1" applyBorder="1" applyAlignment="1">
      <alignment horizontal="right" vertical="center" wrapText="1"/>
    </xf>
    <xf numFmtId="0" fontId="97" fillId="23" borderId="17" xfId="0" applyFont="1" applyFill="1" applyBorder="1" applyAlignment="1">
      <alignment horizontal="right" vertical="center" wrapText="1"/>
    </xf>
    <xf numFmtId="0" fontId="97" fillId="23" borderId="56" xfId="0" applyFont="1" applyFill="1" applyBorder="1" applyAlignment="1">
      <alignment horizontal="center" vertical="center" wrapText="1"/>
    </xf>
    <xf numFmtId="0" fontId="97" fillId="23" borderId="67" xfId="0" applyFont="1" applyFill="1" applyBorder="1" applyAlignment="1">
      <alignment horizontal="center" vertical="center" wrapText="1"/>
    </xf>
    <xf numFmtId="0" fontId="97" fillId="4" borderId="50" xfId="0" applyFont="1" applyFill="1" applyBorder="1" applyAlignment="1">
      <alignment horizontal="center" vertical="center" wrapText="1"/>
    </xf>
    <xf numFmtId="0" fontId="97" fillId="4" borderId="61" xfId="0" applyFont="1" applyFill="1" applyBorder="1" applyAlignment="1">
      <alignment horizontal="center" vertical="center" wrapText="1"/>
    </xf>
    <xf numFmtId="0" fontId="97" fillId="4" borderId="18" xfId="0" applyFont="1" applyFill="1" applyBorder="1" applyAlignment="1">
      <alignment horizontal="center" vertical="center" wrapText="1"/>
    </xf>
    <xf numFmtId="0" fontId="96" fillId="4" borderId="18" xfId="0" applyFont="1" applyFill="1" applyBorder="1" applyAlignment="1">
      <alignment horizontal="center" vertical="center"/>
    </xf>
    <xf numFmtId="0" fontId="69" fillId="5" borderId="56" xfId="0" applyFont="1" applyFill="1" applyBorder="1" applyAlignment="1">
      <alignment vertical="center" wrapText="1"/>
    </xf>
    <xf numFmtId="0" fontId="69" fillId="5" borderId="53" xfId="0" applyFont="1" applyFill="1" applyBorder="1" applyAlignment="1">
      <alignment vertical="center" wrapText="1"/>
    </xf>
    <xf numFmtId="0" fontId="69" fillId="5" borderId="67" xfId="0" applyFont="1" applyFill="1" applyBorder="1" applyAlignment="1">
      <alignment vertical="center" wrapText="1"/>
    </xf>
    <xf numFmtId="0" fontId="69" fillId="5" borderId="68" xfId="0" applyFont="1" applyFill="1" applyBorder="1" applyAlignment="1">
      <alignment vertical="center" wrapText="1"/>
    </xf>
    <xf numFmtId="0" fontId="69" fillId="5" borderId="17" xfId="0" applyFont="1" applyFill="1" applyBorder="1" applyAlignment="1">
      <alignment vertical="center" wrapText="1"/>
    </xf>
    <xf numFmtId="0" fontId="35" fillId="0" borderId="14" xfId="0" applyFont="1" applyBorder="1" applyAlignment="1">
      <alignment horizontal="center" vertical="center"/>
    </xf>
    <xf numFmtId="0" fontId="50" fillId="11" borderId="11" xfId="0" applyFont="1" applyFill="1" applyBorder="1" applyAlignment="1">
      <alignment horizontal="left" vertical="center" wrapText="1"/>
    </xf>
    <xf numFmtId="0" fontId="52" fillId="0" borderId="1" xfId="0" applyFont="1" applyBorder="1" applyAlignment="1">
      <alignment horizontal="left" vertical="top" wrapText="1"/>
    </xf>
    <xf numFmtId="0" fontId="22" fillId="0" borderId="14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wrapText="1"/>
    </xf>
    <xf numFmtId="0" fontId="4" fillId="0" borderId="26" xfId="0" applyFont="1" applyBorder="1"/>
    <xf numFmtId="10" fontId="8" fillId="3" borderId="10" xfId="0" applyNumberFormat="1" applyFont="1" applyFill="1" applyBorder="1" applyAlignment="1">
      <alignment vertical="center" wrapText="1"/>
    </xf>
    <xf numFmtId="10" fontId="4" fillId="0" borderId="12" xfId="0" applyNumberFormat="1" applyFont="1" applyBorder="1"/>
    <xf numFmtId="10" fontId="33" fillId="3" borderId="10" xfId="0" applyNumberFormat="1" applyFont="1" applyFill="1" applyBorder="1" applyAlignment="1">
      <alignment vertical="center" wrapText="1"/>
    </xf>
    <xf numFmtId="2" fontId="18" fillId="6" borderId="21" xfId="0" applyNumberFormat="1" applyFont="1" applyFill="1" applyBorder="1" applyAlignment="1">
      <alignment horizontal="center"/>
    </xf>
    <xf numFmtId="0" fontId="58" fillId="7" borderId="11" xfId="0" applyFont="1" applyFill="1" applyBorder="1"/>
    <xf numFmtId="0" fontId="58" fillId="7" borderId="12" xfId="0" applyFont="1" applyFill="1" applyBorder="1"/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36" fillId="0" borderId="14" xfId="0" applyFont="1" applyBorder="1" applyAlignment="1">
      <alignment horizontal="center" wrapText="1"/>
    </xf>
    <xf numFmtId="165" fontId="36" fillId="7" borderId="14" xfId="0" applyNumberFormat="1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wrapText="1"/>
    </xf>
    <xf numFmtId="0" fontId="36" fillId="0" borderId="15" xfId="0" applyFont="1" applyBorder="1" applyAlignment="1">
      <alignment horizontal="center" wrapText="1"/>
    </xf>
    <xf numFmtId="0" fontId="9" fillId="11" borderId="10" xfId="0" applyFont="1" applyFill="1" applyBorder="1" applyAlignment="1">
      <alignment horizontal="left" vertical="center"/>
    </xf>
    <xf numFmtId="2" fontId="18" fillId="12" borderId="24" xfId="0" applyNumberFormat="1" applyFont="1" applyFill="1" applyBorder="1" applyAlignment="1">
      <alignment horizontal="center" vertical="center"/>
    </xf>
    <xf numFmtId="2" fontId="18" fillId="12" borderId="21" xfId="0" applyNumberFormat="1" applyFont="1" applyFill="1" applyBorder="1" applyAlignment="1">
      <alignment horizontal="center" vertical="center"/>
    </xf>
    <xf numFmtId="0" fontId="50" fillId="11" borderId="14" xfId="0" applyFont="1" applyFill="1" applyBorder="1" applyAlignment="1">
      <alignment horizontal="left" vertical="center" wrapText="1"/>
    </xf>
    <xf numFmtId="0" fontId="33" fillId="3" borderId="14" xfId="0" applyFont="1" applyFill="1" applyBorder="1" applyAlignment="1">
      <alignment vertical="center" wrapText="1"/>
    </xf>
    <xf numFmtId="0" fontId="33" fillId="3" borderId="24" xfId="0" applyFont="1" applyFill="1" applyBorder="1" applyAlignment="1">
      <alignment vertical="center" wrapText="1"/>
    </xf>
    <xf numFmtId="0" fontId="35" fillId="11" borderId="14" xfId="0" applyFont="1" applyFill="1" applyBorder="1" applyAlignment="1">
      <alignment horizontal="left" vertical="center"/>
    </xf>
    <xf numFmtId="0" fontId="51" fillId="0" borderId="14" xfId="0" applyFont="1" applyBorder="1" applyAlignment="1">
      <alignment horizontal="center" vertical="center"/>
    </xf>
  </cellXfs>
  <cellStyles count="4">
    <cellStyle name="Coma" xfId="3" builtinId="3"/>
    <cellStyle name="Enllaç" xfId="1" builtinId="8"/>
    <cellStyle name="Normal" xfId="0" builtinId="0"/>
    <cellStyle name="Percentatge" xfId="2" builtinId="5"/>
  </cellStyles>
  <dxfs count="58">
    <dxf>
      <fill>
        <patternFill>
          <bgColor theme="8" tint="0.3999450666829432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1960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F3300"/>
      <color rgb="FFF1960F"/>
      <color rgb="FF66FF33"/>
      <color rgb="FF9900CC"/>
      <color rgb="FF660066"/>
      <color rgb="FF333399"/>
      <color rgb="FFFF7C80"/>
      <color rgb="FFCC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theme" Target="theme/theme1.xml"/><Relationship Id="rId79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eetMetadata" Target="metadata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alcChain" Target="calcChain.xml"/><Relationship Id="rId8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'PE1.01_Ind01 '!$B$12</c:f>
              <c:strCache>
                <c:ptCount val="1"/>
                <c:pt idx="0">
                  <c:v>Valor real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1"/>
          <c:cat>
            <c:strRef>
              <c:f>'PE1.01_Ind01 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'PE1.01_Ind01 '!$D$12:$I$12</c:f>
              <c:numCache>
                <c:formatCode>0%</c:formatCode>
                <c:ptCount val="6"/>
                <c:pt idx="0">
                  <c:v>0.44</c:v>
                </c:pt>
                <c:pt idx="1">
                  <c:v>0.57999999999999996</c:v>
                </c:pt>
                <c:pt idx="2">
                  <c:v>0.53</c:v>
                </c:pt>
                <c:pt idx="3">
                  <c:v>0.32</c:v>
                </c:pt>
                <c:pt idx="4">
                  <c:v>0.88260000000000005</c:v>
                </c:pt>
                <c:pt idx="5">
                  <c:v>0.81310000000000004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90-44B0-BD7F-CCA1DA244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1423127"/>
        <c:axId val="517237689"/>
      </c:barChart>
      <c:lineChart>
        <c:grouping val="standard"/>
        <c:varyColors val="0"/>
        <c:ser>
          <c:idx val="1"/>
          <c:order val="1"/>
          <c:tx>
            <c:strRef>
              <c:f>'PE1.01_Ind01 '!$B$13</c:f>
              <c:strCache>
                <c:ptCount val="1"/>
                <c:pt idx="0">
                  <c:v>Valor objectiu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190-44B0-BD7F-CCA1DA244E72}"/>
              </c:ext>
            </c:extLst>
          </c:dPt>
          <c:cat>
            <c:strRef>
              <c:f>'PE1.01_Ind01 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'PE1.01_Ind01 '!$D$13:$I$13</c:f>
              <c:numCache>
                <c:formatCode>0%</c:formatCode>
                <c:ptCount val="6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90-44B0-BD7F-CCA1DA244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423127"/>
        <c:axId val="517237689"/>
      </c:lineChart>
      <c:catAx>
        <c:axId val="1151423127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17237689"/>
        <c:crosses val="autoZero"/>
        <c:auto val="1"/>
        <c:lblAlgn val="ctr"/>
        <c:lblOffset val="100"/>
        <c:noMultiLvlLbl val="1"/>
      </c:catAx>
      <c:valAx>
        <c:axId val="51723768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151423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1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200" b="1" i="0" u="none" strike="noStrike" baseline="0">
                <a:effectLst/>
              </a:rPr>
              <a:t>PE1.01_Ind02.  Percentatge de propostes de millora implementades </a:t>
            </a:r>
            <a:r>
              <a:rPr lang="es-ES" sz="1200" b="1" i="0" u="none" strike="sngStrike" baseline="0">
                <a:effectLst/>
              </a:rPr>
              <a:t>,</a:t>
            </a:r>
            <a:r>
              <a:rPr lang="es-ES" sz="1200" b="1" i="0" u="none" strike="noStrike" baseline="0">
                <a:effectLst/>
              </a:rPr>
              <a:t> per curs acadèmic</a:t>
            </a:r>
            <a:endParaRPr lang="ca-E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'PE1.01_Ind02'!$B$12:$C$12</c:f>
              <c:strCache>
                <c:ptCount val="2"/>
                <c:pt idx="0">
                  <c:v>Valor real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'PE1.01_Ind02'!$D$11:$I$11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'PE1.01_Ind02'!$D$12:$I$12</c:f>
              <c:numCache>
                <c:formatCode>0%</c:formatCode>
                <c:ptCount val="6"/>
                <c:pt idx="0" formatCode="0.00%">
                  <c:v>0.41830000000000001</c:v>
                </c:pt>
                <c:pt idx="1">
                  <c:v>0.11</c:v>
                </c:pt>
                <c:pt idx="2" formatCode="0.00%">
                  <c:v>0.87629999999999997</c:v>
                </c:pt>
                <c:pt idx="3">
                  <c:v>0.8</c:v>
                </c:pt>
                <c:pt idx="4">
                  <c:v>0.94020000000000004</c:v>
                </c:pt>
                <c:pt idx="5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06-47F3-B998-1B4BF00E3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99502592"/>
        <c:axId val="1289896992"/>
      </c:barChart>
      <c:lineChart>
        <c:grouping val="standard"/>
        <c:varyColors val="0"/>
        <c:ser>
          <c:idx val="1"/>
          <c:order val="1"/>
          <c:tx>
            <c:strRef>
              <c:f>'PE1.01_Ind02'!$B$13:$C$13</c:f>
              <c:strCache>
                <c:ptCount val="2"/>
                <c:pt idx="0">
                  <c:v>Valor objectiu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'PE1.01_Ind02'!$D$11:$I$11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'PE1.01_Ind02'!$D$13:$I$13</c:f>
              <c:numCache>
                <c:formatCode>0%</c:formatCode>
                <c:ptCount val="6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06-47F3-B998-1B4BF00E3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9502592"/>
        <c:axId val="1289896992"/>
      </c:lineChart>
      <c:catAx>
        <c:axId val="149950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89896992"/>
        <c:crosses val="autoZero"/>
        <c:auto val="1"/>
        <c:lblAlgn val="ctr"/>
        <c:lblOffset val="100"/>
        <c:noMultiLvlLbl val="0"/>
      </c:catAx>
      <c:valAx>
        <c:axId val="128989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9950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'PE1.01_Ind03 '!$A$12:$B$12</c:f>
              <c:strCache>
                <c:ptCount val="2"/>
                <c:pt idx="0">
                  <c:v>Valor real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'PE1.01_Ind03 '!$C$11</c:f>
              <c:strCache>
                <c:ptCount val="1"/>
                <c:pt idx="0">
                  <c:v>2017/2018</c:v>
                </c:pt>
              </c:strCache>
            </c:strRef>
          </c:cat>
          <c:val>
            <c:numRef>
              <c:f>'PE1.01_Ind03 '!$G$12:$H$12</c:f>
              <c:numCache>
                <c:formatCode>General</c:formatCode>
                <c:ptCount val="2"/>
                <c:pt idx="0">
                  <c:v>0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3-4119-8CA5-D76F40364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30950288"/>
        <c:axId val="1259630768"/>
      </c:barChart>
      <c:lineChart>
        <c:grouping val="standard"/>
        <c:varyColors val="0"/>
        <c:ser>
          <c:idx val="1"/>
          <c:order val="1"/>
          <c:tx>
            <c:strRef>
              <c:f>'PE1.01_Ind03 '!$A$13:$B$13</c:f>
              <c:strCache>
                <c:ptCount val="2"/>
                <c:pt idx="0">
                  <c:v>Valor objectiu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'PE1.01_Ind03 '!$C$11</c:f>
              <c:strCache>
                <c:ptCount val="1"/>
                <c:pt idx="0">
                  <c:v>2017/2018</c:v>
                </c:pt>
              </c:strCache>
            </c:strRef>
          </c:cat>
          <c:val>
            <c:numRef>
              <c:f>'PE1.01_Ind03 '!$G$13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A3-4119-8CA5-D76F40364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0950288"/>
        <c:axId val="1259630768"/>
      </c:lineChart>
      <c:catAx>
        <c:axId val="133095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59630768"/>
        <c:crosses val="autoZero"/>
        <c:auto val="1"/>
        <c:lblAlgn val="ctr"/>
        <c:lblOffset val="100"/>
        <c:noMultiLvlLbl val="0"/>
      </c:catAx>
      <c:valAx>
        <c:axId val="125963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30950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200" b="1" i="0" u="none" strike="noStrike" baseline="0">
                <a:effectLst/>
              </a:rPr>
              <a:t>PE1.01_Ind02.  Percentatge de propostes de millora implementades </a:t>
            </a:r>
            <a:r>
              <a:rPr lang="es-ES" sz="1200" b="1" i="0" u="none" strike="sngStrike" baseline="0">
                <a:effectLst/>
              </a:rPr>
              <a:t>,</a:t>
            </a:r>
            <a:r>
              <a:rPr lang="es-ES" sz="1200" b="1" i="0" u="none" strike="noStrike" baseline="0">
                <a:effectLst/>
              </a:rPr>
              <a:t> per curs acadèmic</a:t>
            </a:r>
            <a:endParaRPr lang="ca-E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'PE1.01_Ind04 '!$B$12:$C$12</c:f>
              <c:strCache>
                <c:ptCount val="2"/>
                <c:pt idx="0">
                  <c:v>Valor real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'PE1.01_Ind04 '!$H$11:$I$11</c:f>
              <c:strCache>
                <c:ptCount val="2"/>
                <c:pt idx="0">
                  <c:v>2021/2022</c:v>
                </c:pt>
                <c:pt idx="1">
                  <c:v>2022/2023</c:v>
                </c:pt>
              </c:strCache>
            </c:strRef>
          </c:cat>
          <c:val>
            <c:numRef>
              <c:f>'PE1.01_Ind04 '!$H$12:$I$12</c:f>
              <c:numCache>
                <c:formatCode>0%</c:formatCode>
                <c:ptCount val="2"/>
                <c:pt idx="0">
                  <c:v>0.9</c:v>
                </c:pt>
                <c:pt idx="1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9E-46E1-A752-FF377DD78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99502592"/>
        <c:axId val="1289896992"/>
      </c:barChart>
      <c:lineChart>
        <c:grouping val="standard"/>
        <c:varyColors val="0"/>
        <c:ser>
          <c:idx val="1"/>
          <c:order val="1"/>
          <c:tx>
            <c:strRef>
              <c:f>'PE1.01_Ind04 '!$B$13:$C$13</c:f>
              <c:strCache>
                <c:ptCount val="2"/>
                <c:pt idx="0">
                  <c:v>Valor objectiu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'PE1.01_Ind04 '!$H$11:$I$11</c:f>
              <c:strCache>
                <c:ptCount val="2"/>
                <c:pt idx="0">
                  <c:v>2021/2022</c:v>
                </c:pt>
                <c:pt idx="1">
                  <c:v>2022/2023</c:v>
                </c:pt>
              </c:strCache>
            </c:strRef>
          </c:cat>
          <c:val>
            <c:numRef>
              <c:f>'PE1.01_Ind04 '!$H$13:$I$13</c:f>
              <c:numCache>
                <c:formatCode>0%</c:formatCode>
                <c:ptCount val="2"/>
                <c:pt idx="0">
                  <c:v>0.9</c:v>
                </c:pt>
                <c:pt idx="1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9E-46E1-A752-FF377DD78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9502592"/>
        <c:axId val="1289896992"/>
      </c:lineChart>
      <c:catAx>
        <c:axId val="149950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89896992"/>
        <c:crosses val="autoZero"/>
        <c:auto val="1"/>
        <c:lblAlgn val="ctr"/>
        <c:lblOffset val="100"/>
        <c:noMultiLvlLbl val="0"/>
      </c:catAx>
      <c:valAx>
        <c:axId val="128989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9950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200" b="1" i="0" u="none" strike="noStrike" baseline="0">
                <a:effectLst/>
              </a:rPr>
              <a:t>PE1.01_Ind02.  Percentatge de propostes de millora implementades </a:t>
            </a:r>
            <a:r>
              <a:rPr lang="es-ES" sz="1200" b="1" i="0" u="none" strike="sngStrike" baseline="0">
                <a:effectLst/>
              </a:rPr>
              <a:t>,</a:t>
            </a:r>
            <a:r>
              <a:rPr lang="es-ES" sz="1200" b="1" i="0" u="none" strike="noStrike" baseline="0">
                <a:effectLst/>
              </a:rPr>
              <a:t> per curs acadèmic</a:t>
            </a:r>
            <a:endParaRPr lang="ca-E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'PE1.02_Ind01'!$B$12:$C$12</c:f>
              <c:strCache>
                <c:ptCount val="2"/>
                <c:pt idx="0">
                  <c:v>Valor real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'PE1.02_Ind01'!$F$11:$I$11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'PE1.02_Ind01'!$F$12:$I$12</c:f>
              <c:numCache>
                <c:formatCode>0%</c:formatCode>
                <c:ptCount val="4"/>
                <c:pt idx="0" formatCode="0.00%">
                  <c:v>0.96299999999999997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C0-4527-A456-CA98A1B1F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99502592"/>
        <c:axId val="1289896992"/>
      </c:barChart>
      <c:lineChart>
        <c:grouping val="standard"/>
        <c:varyColors val="0"/>
        <c:ser>
          <c:idx val="1"/>
          <c:order val="1"/>
          <c:tx>
            <c:strRef>
              <c:f>'PE1.02_Ind01'!$B$13:$C$13</c:f>
              <c:strCache>
                <c:ptCount val="2"/>
                <c:pt idx="0">
                  <c:v>Valor objectiu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'PE1.02_Ind01'!$H$11:$I$11</c:f>
              <c:strCache>
                <c:ptCount val="2"/>
                <c:pt idx="0">
                  <c:v>2021/2022</c:v>
                </c:pt>
                <c:pt idx="1">
                  <c:v>2022/2023</c:v>
                </c:pt>
              </c:strCache>
            </c:strRef>
          </c:cat>
          <c:val>
            <c:numRef>
              <c:f>'PE1.02_Ind01'!$F$13:$I$13</c:f>
              <c:numCache>
                <c:formatCode>0%</c:formatCode>
                <c:ptCount val="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C0-4527-A456-CA98A1B1F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9502592"/>
        <c:axId val="1289896992"/>
      </c:lineChart>
      <c:catAx>
        <c:axId val="149950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89896992"/>
        <c:crosses val="autoZero"/>
        <c:auto val="1"/>
        <c:lblAlgn val="ctr"/>
        <c:lblOffset val="100"/>
        <c:noMultiLvlLbl val="0"/>
      </c:catAx>
      <c:valAx>
        <c:axId val="128989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9950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a-ES" sz="1200"/>
              <a:t>PE1.02_Ind02</a:t>
            </a:r>
            <a:r>
              <a:rPr lang="ca-ES" sz="1200" baseline="0"/>
              <a:t> Nombre d'informes de qualitat presentats a la Junta Permanent i i/o Junta de Facultat</a:t>
            </a:r>
            <a:endParaRPr lang="ca-E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'PE1.02_Ind02'!$B$12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'PE1.02_Ind02'!$C$12:$G$12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'PE1.02_Ind02'!$C$12:$F$12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FA-447E-AC3D-F3D9987F2B3D}"/>
            </c:ext>
          </c:extLst>
        </c:ser>
        <c:ser>
          <c:idx val="1"/>
          <c:order val="1"/>
          <c:tx>
            <c:strRef>
              <c:f>'PE1.02_Ind02'!$A$13:$B$13</c:f>
              <c:strCache>
                <c:ptCount val="2"/>
                <c:pt idx="0">
                  <c:v>Valor real</c:v>
                </c:pt>
              </c:strCache>
            </c:strRef>
          </c:tx>
          <c:spPr>
            <a:solidFill>
              <a:srgbClr val="66FF33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'PE1.02_Ind02'!$C$12:$G$12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'PE1.02_Ind02'!$C$13:$G$13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FA-447E-AC3D-F3D9987F2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14617023"/>
        <c:axId val="646314943"/>
      </c:barChart>
      <c:lineChart>
        <c:grouping val="standard"/>
        <c:varyColors val="0"/>
        <c:ser>
          <c:idx val="2"/>
          <c:order val="2"/>
          <c:tx>
            <c:strRef>
              <c:f>'PE1.02_Ind02'!$A$14:$B$14</c:f>
              <c:strCache>
                <c:ptCount val="2"/>
                <c:pt idx="0">
                  <c:v>Objectiu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'PE1.02_Ind02'!$C$12:$F$12</c:f>
              <c:strCache>
                <c:ptCount val="4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</c:strCache>
            </c:strRef>
          </c:cat>
          <c:val>
            <c:numRef>
              <c:f>'PE1.02_Ind02'!$C$14:$G$14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FA-447E-AC3D-F3D9987F2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617023"/>
        <c:axId val="646314943"/>
      </c:lineChart>
      <c:catAx>
        <c:axId val="81461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46314943"/>
        <c:crosses val="autoZero"/>
        <c:auto val="1"/>
        <c:lblAlgn val="ctr"/>
        <c:lblOffset val="100"/>
        <c:noMultiLvlLbl val="0"/>
      </c:catAx>
      <c:valAx>
        <c:axId val="646314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14617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a-ES" sz="1200"/>
              <a:t>PE1.02_Ind03</a:t>
            </a:r>
            <a:r>
              <a:rPr lang="ca-ES" sz="1200" baseline="0"/>
              <a:t>  Distribució per categories del personal de Gestió de qualitat a la Facultat de Ciències.</a:t>
            </a:r>
            <a:endParaRPr lang="ca-E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'PE1.02_Ind03'!$B$12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'PE1.02_Ind03'!$C$12:$G$12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'PE1.02_Ind03'!$C$12:$F$12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5-4322-A9C6-F7E25B9949B5}"/>
            </c:ext>
          </c:extLst>
        </c:ser>
        <c:ser>
          <c:idx val="1"/>
          <c:order val="1"/>
          <c:tx>
            <c:strRef>
              <c:f>'PE1.02_Ind03'!$A$13:$B$13</c:f>
              <c:strCache>
                <c:ptCount val="2"/>
                <c:pt idx="0">
                  <c:v>Valor real</c:v>
                </c:pt>
              </c:strCache>
            </c:strRef>
          </c:tx>
          <c:spPr>
            <a:solidFill>
              <a:srgbClr val="66FF33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'PE1.02_Ind03'!$C$12:$G$12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'PE1.02_Ind03'!$C$13:$G$13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A5-4322-A9C6-F7E25B994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14617023"/>
        <c:axId val="646314943"/>
      </c:barChart>
      <c:lineChart>
        <c:grouping val="standard"/>
        <c:varyColors val="0"/>
        <c:ser>
          <c:idx val="2"/>
          <c:order val="2"/>
          <c:tx>
            <c:strRef>
              <c:f>'PE1.02_Ind03'!$A$14:$B$14</c:f>
              <c:strCache>
                <c:ptCount val="2"/>
                <c:pt idx="0">
                  <c:v>Objectiu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'PE1.02_Ind03'!$C$12:$F$12</c:f>
              <c:strCache>
                <c:ptCount val="4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</c:strCache>
            </c:strRef>
          </c:cat>
          <c:val>
            <c:numRef>
              <c:f>'PE1.02_Ind03'!$C$14:$G$14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A5-4322-A9C6-F7E25B994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617023"/>
        <c:axId val="646314943"/>
      </c:lineChart>
      <c:catAx>
        <c:axId val="81461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46314943"/>
        <c:crosses val="autoZero"/>
        <c:auto val="1"/>
        <c:lblAlgn val="ctr"/>
        <c:lblOffset val="100"/>
        <c:noMultiLvlLbl val="0"/>
      </c:catAx>
      <c:valAx>
        <c:axId val="646314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14617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PE1.03_ind03 Ràtio de places en primera opció</a:t>
            </a:r>
            <a:r>
              <a:rPr lang="en-US" baseline="0"/>
              <a:t> versus places ofertades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2.5649401468596667E-2"/>
          <c:y val="4.1504539559014265E-2"/>
          <c:w val="0.59962919295236927"/>
          <c:h val="0.844054658537332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'PE1.03_Ind01'!$B$29</c:f>
              <c:strCache>
                <c:ptCount val="1"/>
                <c:pt idx="0">
                  <c:v>9. Gràfic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'PE1.03_Ind01'!$E$12:$I$12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'PE1.03_Ind01'!$C$29:$E$29</c:f>
              <c:numCache>
                <c:formatCode>General</c:formatCode>
                <c:ptCount val="3"/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BEBE-4EBD-873B-0C4A564A6B93}"/>
            </c:ext>
          </c:extLst>
        </c:ser>
        <c:ser>
          <c:idx val="1"/>
          <c:order val="1"/>
          <c:tx>
            <c:strRef>
              <c:f>'PE1.03_Ind01'!$B$13</c:f>
              <c:strCache>
                <c:ptCount val="1"/>
                <c:pt idx="0">
                  <c:v>Ciències Ambientals</c:v>
                </c:pt>
              </c:strCache>
              <c:extLst xmlns:c15="http://schemas.microsoft.com/office/drawing/2012/chart"/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'PE1.03_Ind01'!$E$12:$I$12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'PE1.03_Ind01'!$D$13:$H$13</c:f>
              <c:numCache>
                <c:formatCode>General</c:formatCode>
                <c:ptCount val="5"/>
                <c:pt idx="0">
                  <c:v>0.7</c:v>
                </c:pt>
                <c:pt idx="1">
                  <c:v>1.2</c:v>
                </c:pt>
                <c:pt idx="2">
                  <c:v>1</c:v>
                </c:pt>
                <c:pt idx="3">
                  <c:v>0.9</c:v>
                </c:pt>
                <c:pt idx="4">
                  <c:v>0.8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BEBE-4EBD-873B-0C4A564A6B93}"/>
            </c:ext>
          </c:extLst>
        </c:ser>
        <c:ser>
          <c:idx val="2"/>
          <c:order val="2"/>
          <c:tx>
            <c:strRef>
              <c:f>'PE1.03_Ind01'!$B$14</c:f>
              <c:strCache>
                <c:ptCount val="1"/>
                <c:pt idx="0">
                  <c:v>Ciències Ambientals + Geologia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'PE1.03_Ind01'!$E$12:$I$12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'PE1.03_Ind01'!$D$14:$H$14</c:f>
              <c:numCache>
                <c:formatCode>General</c:formatCode>
                <c:ptCount val="5"/>
                <c:pt idx="0">
                  <c:v>1.2</c:v>
                </c:pt>
                <c:pt idx="1">
                  <c:v>1.1000000000000001</c:v>
                </c:pt>
                <c:pt idx="2">
                  <c:v>1</c:v>
                </c:pt>
                <c:pt idx="3">
                  <c:v>1.2</c:v>
                </c:pt>
                <c:pt idx="4">
                  <c:v>0.8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BEBE-4EBD-873B-0C4A564A6B93}"/>
            </c:ext>
          </c:extLst>
        </c:ser>
        <c:ser>
          <c:idx val="3"/>
          <c:order val="3"/>
          <c:tx>
            <c:strRef>
              <c:f>'PE1.03_Ind01'!$B$15</c:f>
              <c:strCache>
                <c:ptCount val="1"/>
                <c:pt idx="0">
                  <c:v>Estadística Aplicada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'PE1.03_Ind01'!$E$12:$I$12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'PE1.03_Ind01'!$D$15:$H$15</c:f>
              <c:numCache>
                <c:formatCode>General</c:formatCode>
                <c:ptCount val="5"/>
                <c:pt idx="0">
                  <c:v>0.7</c:v>
                </c:pt>
                <c:pt idx="1">
                  <c:v>0.7</c:v>
                </c:pt>
                <c:pt idx="2">
                  <c:v>0.8</c:v>
                </c:pt>
                <c:pt idx="3">
                  <c:v>1.6</c:v>
                </c:pt>
                <c:pt idx="4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BE-4EBD-873B-0C4A564A6B93}"/>
            </c:ext>
          </c:extLst>
        </c:ser>
        <c:ser>
          <c:idx val="4"/>
          <c:order val="4"/>
          <c:tx>
            <c:strRef>
              <c:f>'PE1.03_Ind01'!$B$16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'PE1.03_Ind01'!$E$12:$I$12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'PE1.03_Ind01'!$D$16:$H$16</c:f>
              <c:numCache>
                <c:formatCode>General</c:formatCode>
                <c:ptCount val="5"/>
                <c:pt idx="0">
                  <c:v>1.8</c:v>
                </c:pt>
                <c:pt idx="1">
                  <c:v>2.2000000000000002</c:v>
                </c:pt>
                <c:pt idx="2">
                  <c:v>2.1</c:v>
                </c:pt>
                <c:pt idx="3">
                  <c:v>2.4</c:v>
                </c:pt>
                <c:pt idx="4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BE-4EBD-873B-0C4A564A6B93}"/>
            </c:ext>
          </c:extLst>
        </c:ser>
        <c:ser>
          <c:idx val="7"/>
          <c:order val="7"/>
          <c:tx>
            <c:strRef>
              <c:f>'PE1.03_Ind01'!$B$20</c:f>
              <c:strCache>
                <c:ptCount val="1"/>
                <c:pt idx="0">
                  <c:v>Matemàtica Computacional i Analítica de Dades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'PE1.03_Ind01'!$E$12:$I$12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'PE1.03_Ind01'!$D$20:$H$20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1.3</c:v>
                </c:pt>
                <c:pt idx="3">
                  <c:v>1.4</c:v>
                </c:pt>
                <c:pt idx="4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EBE-4EBD-873B-0C4A564A6B93}"/>
            </c:ext>
          </c:extLst>
        </c:ser>
        <c:ser>
          <c:idx val="8"/>
          <c:order val="8"/>
          <c:tx>
            <c:strRef>
              <c:f>'PE1.03_Ind01'!$B$21</c:f>
              <c:strCache>
                <c:ptCount val="1"/>
                <c:pt idx="0">
                  <c:v>Matemàtiques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'PE1.03_Ind01'!$E$12:$I$12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'PE1.03_Ind01'!$D$21:$H$21</c:f>
              <c:numCache>
                <c:formatCode>General</c:formatCode>
                <c:ptCount val="5"/>
                <c:pt idx="0">
                  <c:v>1</c:v>
                </c:pt>
                <c:pt idx="1">
                  <c:v>1.2</c:v>
                </c:pt>
                <c:pt idx="2">
                  <c:v>1.2</c:v>
                </c:pt>
                <c:pt idx="3">
                  <c:v>2</c:v>
                </c:pt>
                <c:pt idx="4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EBE-4EBD-873B-0C4A564A6B93}"/>
            </c:ext>
          </c:extLst>
        </c:ser>
        <c:ser>
          <c:idx val="9"/>
          <c:order val="9"/>
          <c:tx>
            <c:strRef>
              <c:f>'PE1.03_Ind01'!$B$22</c:f>
              <c:strCache>
                <c:ptCount val="1"/>
                <c:pt idx="0">
                  <c:v>Nanociència i Nanotecnologia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'PE1.03_Ind01'!$E$12:$I$12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'PE1.03_Ind01'!$D$22:$H$22</c:f>
              <c:numCache>
                <c:formatCode>General</c:formatCode>
                <c:ptCount val="5"/>
                <c:pt idx="0">
                  <c:v>1.3</c:v>
                </c:pt>
                <c:pt idx="1">
                  <c:v>1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1.2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B-BEBE-4EBD-873B-0C4A564A6B93}"/>
            </c:ext>
          </c:extLst>
        </c:ser>
        <c:ser>
          <c:idx val="10"/>
          <c:order val="10"/>
          <c:tx>
            <c:strRef>
              <c:f>'PE1.03_Ind01'!$B$23</c:f>
              <c:strCache>
                <c:ptCount val="1"/>
                <c:pt idx="0">
                  <c:v>Química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'PE1.03_Ind01'!$E$12:$I$12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'PE1.03_Ind01'!$D$23:$H$23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1.1000000000000001</c:v>
                </c:pt>
                <c:pt idx="3">
                  <c:v>0.9</c:v>
                </c:pt>
                <c:pt idx="4">
                  <c:v>1.1000000000000001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C-BEBE-4EBD-873B-0C4A564A6B93}"/>
            </c:ext>
          </c:extLst>
        </c:ser>
        <c:ser>
          <c:idx val="12"/>
          <c:order val="12"/>
          <c:tx>
            <c:strRef>
              <c:f>'PE1.03_Ind01'!$B$19</c:f>
              <c:strCache>
                <c:ptCount val="1"/>
                <c:pt idx="0">
                  <c:v>Geologia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'PE1.03_Ind01'!$E$12:$I$12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'PE1.03_Ind01'!$D$19:$H$19</c:f>
              <c:numCache>
                <c:formatCode>General</c:formatCode>
                <c:ptCount val="5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0.5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EBE-4EBD-873B-0C4A564A6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79673840"/>
        <c:axId val="1634589888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'PE1.03_Ind01'!$B$17</c15:sqref>
                        </c15:formulaRef>
                      </c:ext>
                    </c:extLst>
                    <c:strCache>
                      <c:ptCount val="1"/>
                      <c:pt idx="0">
                        <c:v>Física + Matemàtiques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6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6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'PE1.03_Ind01'!$E$12:$I$12</c15:sqref>
                        </c15:formulaRef>
                      </c:ext>
                    </c:extLst>
                    <c:strCache>
                      <c:ptCount val="5"/>
                      <c:pt idx="0">
                        <c:v>2018/2019</c:v>
                      </c:pt>
                      <c:pt idx="1">
                        <c:v>2019/2020</c:v>
                      </c:pt>
                      <c:pt idx="2">
                        <c:v>2020/2021</c:v>
                      </c:pt>
                      <c:pt idx="3">
                        <c:v>2021/2022</c:v>
                      </c:pt>
                      <c:pt idx="4">
                        <c:v>2022/2023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'PE1.03_Ind01'!$D$17:$H$17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5.9</c:v>
                      </c:pt>
                      <c:pt idx="1">
                        <c:v>4.7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5.2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BEBE-4EBD-873B-0C4A564A6B93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'PE1.03_Ind01'!$B$18</c15:sqref>
                        </c15:formulaRef>
                      </c:ext>
                    </c:extLst>
                    <c:strCache>
                      <c:ptCount val="1"/>
                      <c:pt idx="0">
                        <c:v>Física + Química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  <a:lumOff val="40000"/>
                    </a:schemeClr>
                  </a:soli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'PE1.03_Ind01'!$E$12:$I$12</c15:sqref>
                        </c15:formulaRef>
                      </c:ext>
                    </c:extLst>
                    <c:strCache>
                      <c:ptCount val="5"/>
                      <c:pt idx="0">
                        <c:v>2018/2019</c:v>
                      </c:pt>
                      <c:pt idx="1">
                        <c:v>2019/2020</c:v>
                      </c:pt>
                      <c:pt idx="2">
                        <c:v>2020/2021</c:v>
                      </c:pt>
                      <c:pt idx="3">
                        <c:v>2021/2022</c:v>
                      </c:pt>
                      <c:pt idx="4">
                        <c:v>2022/2023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'PE1.03_Ind01'!$D$18:$H$18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1.9</c:v>
                      </c:pt>
                      <c:pt idx="1">
                        <c:v>1.8</c:v>
                      </c:pt>
                      <c:pt idx="2">
                        <c:v>1.9</c:v>
                      </c:pt>
                      <c:pt idx="3">
                        <c:v>1.9</c:v>
                      </c:pt>
                      <c:pt idx="4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EBE-4EBD-873B-0C4A564A6B93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1"/>
          <c:order val="11"/>
          <c:tx>
            <c:strRef>
              <c:f>'PE1.03_Ind01'!$B$24</c:f>
              <c:strCache>
                <c:ptCount val="1"/>
                <c:pt idx="0">
                  <c:v>Valor objectiu ≥ 0.8</c:v>
                </c:pt>
              </c:strCache>
            </c:strRef>
          </c:tx>
          <c:spPr>
            <a:ln w="34925" cap="sq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DFD5E8E5-B847-4C11-9498-625A64C68A15}" type="VALUE">
                      <a:rPr lang="en-US" b="1"/>
                      <a:pPr/>
                      <a:t>[VALOR]</a:t>
                    </a:fld>
                    <a:endParaRPr lang="ca-E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BEBE-4EBD-873B-0C4A564A6B93}"/>
                </c:ext>
              </c:extLst>
            </c:dLbl>
            <c:dLbl>
              <c:idx val="1"/>
              <c:layout>
                <c:manualLayout>
                  <c:x val="0"/>
                  <c:y val="-1.6108176497878445E-1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lt1">
                            <a:lumMod val="8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10BF4A3-39A5-4BC6-B752-05AC5015EA00}" type="VALUE">
                      <a:rPr lang="en-US" b="1"/>
                      <a:pPr>
                        <a:defRPr/>
                      </a:pPr>
                      <a:t>[VALOR]</a:t>
                    </a:fld>
                    <a:endParaRPr lang="ca-ES"/>
                  </a:p>
                </c:rich>
              </c:tx>
              <c:spPr>
                <a:noFill/>
                <a:ln>
                  <a:noFill/>
                </a:ln>
                <a:effectLst>
                  <a:glow rad="63500">
                    <a:schemeClr val="accent1">
                      <a:satMod val="175000"/>
                      <a:alpha val="40000"/>
                    </a:schemeClr>
                  </a:glow>
                  <a:outerShdw blurRad="50800" dist="50800" dir="5400000" algn="ctr" rotWithShape="0">
                    <a:schemeClr val="accent2"/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a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BEBE-4EBD-873B-0C4A564A6B9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4FE6C6F-DAAC-4C43-8C51-7CCAD4E66BD6}" type="VALUE">
                      <a:rPr lang="en-US" b="1"/>
                      <a:pPr/>
                      <a:t>[VALOR]</a:t>
                    </a:fld>
                    <a:endParaRPr lang="ca-E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BEBE-4EBD-873B-0C4A564A6B9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D3B11F7-3A1A-4D8A-B879-8358BFA11059}" type="VALUE">
                      <a:rPr lang="en-US" b="1">
                        <a:solidFill>
                          <a:schemeClr val="bg1"/>
                        </a:solidFill>
                      </a:rPr>
                      <a:pPr/>
                      <a:t>[VALOR]</a:t>
                    </a:fld>
                    <a:endParaRPr lang="ca-E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BEBE-4EBD-873B-0C4A564A6B9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916F3BA-AAE0-4B25-BEBD-F5778FC9A582}" type="VALUE">
                      <a:rPr lang="en-US" b="1"/>
                      <a:pPr/>
                      <a:t>[VALOR]</a:t>
                    </a:fld>
                    <a:endParaRPr lang="ca-E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BEBE-4EBD-873B-0C4A564A6B93}"/>
                </c:ext>
              </c:extLst>
            </c:dLbl>
            <c:spPr>
              <a:noFill/>
              <a:ln>
                <a:noFill/>
              </a:ln>
              <a:effectLst>
                <a:glow rad="63500">
                  <a:schemeClr val="accent1">
                    <a:satMod val="175000"/>
                    <a:alpha val="40000"/>
                  </a:schemeClr>
                </a:glo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'PE1.03_Ind01'!$D$12:$H$12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'PE1.03_Ind01'!$D$24:$H$24</c:f>
              <c:numCache>
                <c:formatCode>General</c:formatCode>
                <c:ptCount val="5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EBE-4EBD-873B-0C4A564A6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9673840"/>
        <c:axId val="1634589888"/>
      </c:lineChart>
      <c:catAx>
        <c:axId val="147967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634589888"/>
        <c:crosses val="autoZero"/>
        <c:auto val="1"/>
        <c:lblAlgn val="ctr"/>
        <c:lblOffset val="100"/>
        <c:noMultiLvlLbl val="0"/>
      </c:catAx>
      <c:valAx>
        <c:axId val="163458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7967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200" b="1" i="0" u="none" strike="noStrike" baseline="0">
                <a:effectLst/>
              </a:rPr>
              <a:t>E1.03_Ind02. Taxa de graduació per curs acadèmic i titulació(per cohort, N+1, Graus</a:t>
            </a:r>
            <a:r>
              <a:rPr lang="es-ES" sz="1600" b="1" i="0" u="none" strike="noStrike" baseline="0">
                <a:effectLst/>
              </a:rPr>
              <a:t>) </a:t>
            </a:r>
            <a:endParaRPr lang="ca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7.5708661417322853E-2"/>
          <c:y val="6.0185185185185182E-2"/>
          <c:w val="0.88818022747156611"/>
          <c:h val="0.847314814814814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'PE1.03_Ind02'!$B$29</c:f>
              <c:strCache>
                <c:ptCount val="1"/>
                <c:pt idx="0">
                  <c:v>9. Gràfic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'PE1.03_Ind02'!$D$12:$F$12</c15:sqref>
                  </c15:fullRef>
                </c:ext>
              </c:extLst>
              <c:f>'PE1.03_Ind02'!$D$12:$F$12</c:f>
              <c:strCache>
                <c:ptCount val="3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'PE1.03_Ind02'!$C$29:$E$29</c15:sqref>
                  </c15:fullRef>
                </c:ext>
              </c:extLst>
              <c:f>'PE1.03_Ind02'!$C$29:$E$29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E224-4373-9878-F57F86CB1C37}"/>
            </c:ext>
          </c:extLst>
        </c:ser>
        <c:ser>
          <c:idx val="1"/>
          <c:order val="1"/>
          <c:tx>
            <c:strRef>
              <c:f>'PE1.03_Ind02'!$C$12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'PE1.03_Ind02'!$D$12:$F$12</c15:sqref>
                  </c15:fullRef>
                </c:ext>
              </c:extLst>
              <c:f>'PE1.03_Ind02'!$D$12:$F$12</c:f>
              <c:strCache>
                <c:ptCount val="3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'PE1.03_Ind02'!$D$12:$G$12</c15:sqref>
                  </c15:fullRef>
                </c:ext>
              </c:extLst>
              <c:f>'PE1.03_Ind02'!$D$12:$F$12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24-4373-9878-F57F86CB1C37}"/>
            </c:ext>
          </c:extLst>
        </c:ser>
        <c:ser>
          <c:idx val="2"/>
          <c:order val="2"/>
          <c:tx>
            <c:strRef>
              <c:f>'PE1.03_Ind02'!$B$13:$C$13</c:f>
              <c:strCache>
                <c:ptCount val="2"/>
                <c:pt idx="0">
                  <c:v>Ciències Ambientals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'PE1.03_Ind02'!$D$12:$F$12</c15:sqref>
                  </c15:fullRef>
                </c:ext>
              </c:extLst>
              <c:f>'PE1.03_Ind02'!$D$12:$F$12</c:f>
              <c:strCache>
                <c:ptCount val="3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'PE1.03_Ind02'!$D$13:$G$13</c15:sqref>
                  </c15:fullRef>
                </c:ext>
              </c:extLst>
              <c:f>'PE1.03_Ind02'!$D$13:$F$13</c:f>
              <c:numCache>
                <c:formatCode>0.00%</c:formatCode>
                <c:ptCount val="3"/>
                <c:pt idx="0">
                  <c:v>0.57530000000000003</c:v>
                </c:pt>
                <c:pt idx="1">
                  <c:v>0.66200000000000003</c:v>
                </c:pt>
                <c:pt idx="2">
                  <c:v>0.68569999999999998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24-4373-9878-F57F86CB1C37}"/>
            </c:ext>
          </c:extLst>
        </c:ser>
        <c:ser>
          <c:idx val="3"/>
          <c:order val="3"/>
          <c:tx>
            <c:strRef>
              <c:f>'PE1.03_Ind02'!$B$14:$C$14</c:f>
              <c:strCache>
                <c:ptCount val="2"/>
                <c:pt idx="0">
                  <c:v>Ciències Ambientals i Geologia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'PE1.03_Ind02'!$D$12:$F$12</c15:sqref>
                  </c15:fullRef>
                </c:ext>
              </c:extLst>
              <c:f>'PE1.03_Ind02'!$D$12:$F$12</c:f>
              <c:strCache>
                <c:ptCount val="3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'PE1.03_Ind02'!$D$14:$G$14</c15:sqref>
                  </c15:fullRef>
                </c:ext>
              </c:extLst>
              <c:f>'PE1.03_Ind02'!$D$14:$F$14</c:f>
              <c:numCache>
                <c:formatCode>0.00%</c:formatCode>
                <c:ptCount val="3"/>
                <c:pt idx="0" formatCode="General">
                  <c:v>0</c:v>
                </c:pt>
                <c:pt idx="1">
                  <c:v>0.68179999999999996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24-4373-9878-F57F86CB1C37}"/>
            </c:ext>
          </c:extLst>
        </c:ser>
        <c:ser>
          <c:idx val="4"/>
          <c:order val="4"/>
          <c:tx>
            <c:strRef>
              <c:f>'PE1.03_Ind02'!$B$15:$C$15</c:f>
              <c:strCache>
                <c:ptCount val="2"/>
                <c:pt idx="0">
                  <c:v>Estadística Aplicada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'PE1.03_Ind02'!$D$12:$F$12</c15:sqref>
                  </c15:fullRef>
                </c:ext>
              </c:extLst>
              <c:f>'PE1.03_Ind02'!$D$12:$F$12</c:f>
              <c:strCache>
                <c:ptCount val="3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'PE1.03_Ind02'!$D$15:$G$15</c15:sqref>
                  </c15:fullRef>
                </c:ext>
              </c:extLst>
              <c:f>'PE1.03_Ind02'!$D$15:$F$15</c:f>
              <c:numCache>
                <c:formatCode>0.00%</c:formatCode>
                <c:ptCount val="3"/>
                <c:pt idx="0">
                  <c:v>0.42499999999999999</c:v>
                </c:pt>
                <c:pt idx="1">
                  <c:v>0.15379999999999999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24-4373-9878-F57F86CB1C37}"/>
            </c:ext>
          </c:extLst>
        </c:ser>
        <c:ser>
          <c:idx val="5"/>
          <c:order val="5"/>
          <c:tx>
            <c:strRef>
              <c:f>'PE1.03_Ind02'!$B$16:$C$16</c:f>
              <c:strCache>
                <c:ptCount val="2"/>
                <c:pt idx="0">
                  <c:v>Física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'PE1.03_Ind02'!$D$12:$F$12</c15:sqref>
                  </c15:fullRef>
                </c:ext>
              </c:extLst>
              <c:f>'PE1.03_Ind02'!$D$12:$F$12</c:f>
              <c:strCache>
                <c:ptCount val="3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'PE1.03_Ind02'!$D$16:$G$16</c15:sqref>
                  </c15:fullRef>
                </c:ext>
              </c:extLst>
              <c:f>'PE1.03_Ind02'!$D$16:$F$16</c:f>
              <c:numCache>
                <c:formatCode>0.00%</c:formatCode>
                <c:ptCount val="3"/>
                <c:pt idx="0" formatCode="0%">
                  <c:v>0.73</c:v>
                </c:pt>
                <c:pt idx="1">
                  <c:v>0.59419999999999995</c:v>
                </c:pt>
                <c:pt idx="2">
                  <c:v>0.57140000000000002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24-4373-9878-F57F86CB1C37}"/>
            </c:ext>
          </c:extLst>
        </c:ser>
        <c:ser>
          <c:idx val="6"/>
          <c:order val="6"/>
          <c:tx>
            <c:strRef>
              <c:f>'PE1.03_Ind02'!$B$17:$C$17</c:f>
              <c:strCache>
                <c:ptCount val="2"/>
                <c:pt idx="0">
                  <c:v>Física i Matemátiques
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'PE1.03_Ind02'!$D$12:$F$12</c15:sqref>
                  </c15:fullRef>
                </c:ext>
              </c:extLst>
              <c:f>'PE1.03_Ind02'!$D$12:$F$12</c:f>
              <c:strCache>
                <c:ptCount val="3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'PE1.03_Ind02'!$D$17:$G$17</c15:sqref>
                  </c15:fullRef>
                </c:ext>
              </c:extLst>
              <c:f>'PE1.03_Ind02'!$D$17:$F$17</c:f>
              <c:numCache>
                <c:formatCode>0.00%</c:formatCode>
                <c:ptCount val="3"/>
                <c:pt idx="0" formatCode="0%">
                  <c:v>0.71430000000000005</c:v>
                </c:pt>
                <c:pt idx="1">
                  <c:v>0.83330000000000004</c:v>
                </c:pt>
                <c:pt idx="2">
                  <c:v>0.95650000000000002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24-4373-9878-F57F86CB1C37}"/>
            </c:ext>
          </c:extLst>
        </c:ser>
        <c:ser>
          <c:idx val="7"/>
          <c:order val="7"/>
          <c:tx>
            <c:strRef>
              <c:f>'PE1.03_Ind02'!$B$18:$C$18</c:f>
              <c:strCache>
                <c:ptCount val="2"/>
                <c:pt idx="0">
                  <c:v>Física i  Química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'PE1.03_Ind02'!$D$12:$F$12</c15:sqref>
                  </c15:fullRef>
                </c:ext>
              </c:extLst>
              <c:f>'PE1.03_Ind02'!$D$12:$F$12</c:f>
              <c:strCache>
                <c:ptCount val="3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'PE1.03_Ind02'!$D$18:$G$18</c15:sqref>
                  </c15:fullRef>
                </c:ext>
              </c:extLst>
              <c:f>'PE1.03_Ind02'!$D$18:$F$18</c:f>
              <c:numCache>
                <c:formatCode>General</c:formatCode>
                <c:ptCount val="3"/>
                <c:pt idx="0" formatCode="0.00%">
                  <c:v>0.63639999999999997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224-4373-9878-F57F86CB1C37}"/>
            </c:ext>
          </c:extLst>
        </c:ser>
        <c:ser>
          <c:idx val="8"/>
          <c:order val="8"/>
          <c:tx>
            <c:strRef>
              <c:f>'PE1.03_Ind02'!$B$19:$C$19</c:f>
              <c:strCache>
                <c:ptCount val="2"/>
                <c:pt idx="0">
                  <c:v>Geologia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'PE1.03_Ind02'!$D$12:$F$12</c15:sqref>
                  </c15:fullRef>
                </c:ext>
              </c:extLst>
              <c:f>'PE1.03_Ind02'!$D$12:$F$12</c:f>
              <c:strCache>
                <c:ptCount val="3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'PE1.03_Ind02'!$D$19:$G$19</c15:sqref>
                  </c15:fullRef>
                </c:ext>
              </c:extLst>
              <c:f>'PE1.03_Ind02'!$D$19:$F$19</c:f>
              <c:numCache>
                <c:formatCode>0.00%</c:formatCode>
                <c:ptCount val="3"/>
                <c:pt idx="0">
                  <c:v>0.1525</c:v>
                </c:pt>
                <c:pt idx="1">
                  <c:v>0.26319999999999999</c:v>
                </c:pt>
                <c:pt idx="2">
                  <c:v>0.4103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224-4373-9878-F57F86CB1C37}"/>
            </c:ext>
          </c:extLst>
        </c:ser>
        <c:ser>
          <c:idx val="9"/>
          <c:order val="9"/>
          <c:tx>
            <c:strRef>
              <c:f>'PE1.03_Ind02'!$B$20:$C$20</c:f>
              <c:strCache>
                <c:ptCount val="2"/>
                <c:pt idx="0">
                  <c:v>Matemàtiques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'PE1.03_Ind02'!$D$12:$F$12</c15:sqref>
                  </c15:fullRef>
                </c:ext>
              </c:extLst>
              <c:f>'PE1.03_Ind02'!$D$12:$F$12</c:f>
              <c:strCache>
                <c:ptCount val="3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'PE1.03_Ind02'!$D$20:$G$20</c15:sqref>
                  </c15:fullRef>
                </c:ext>
              </c:extLst>
              <c:f>'PE1.03_Ind02'!$D$20:$F$20</c:f>
              <c:numCache>
                <c:formatCode>0.00%</c:formatCode>
                <c:ptCount val="3"/>
                <c:pt idx="0">
                  <c:v>0.39240000000000003</c:v>
                </c:pt>
                <c:pt idx="1">
                  <c:v>0.4425</c:v>
                </c:pt>
                <c:pt idx="2">
                  <c:v>0.38100000000000001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224-4373-9878-F57F86CB1C37}"/>
            </c:ext>
          </c:extLst>
        </c:ser>
        <c:ser>
          <c:idx val="10"/>
          <c:order val="10"/>
          <c:tx>
            <c:strRef>
              <c:f>'PE1.03_Ind02'!$B$21:$C$21</c:f>
              <c:strCache>
                <c:ptCount val="2"/>
                <c:pt idx="0">
                  <c:v>Matemàtica Computacional i Analítica de Dades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'PE1.03_Ind02'!$D$12:$F$12</c15:sqref>
                  </c15:fullRef>
                </c:ext>
              </c:extLst>
              <c:f>'PE1.03_Ind02'!$D$12:$F$12</c:f>
              <c:strCache>
                <c:ptCount val="3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'PE1.03_Ind02'!$D$21:$G$21</c15:sqref>
                  </c15:fullRef>
                </c:ext>
              </c:extLst>
              <c:f>'PE1.03_Ind02'!$D$21:$F$21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224-4373-9878-F57F86CB1C37}"/>
            </c:ext>
          </c:extLst>
        </c:ser>
        <c:ser>
          <c:idx val="11"/>
          <c:order val="11"/>
          <c:tx>
            <c:strRef>
              <c:f>'PE1.03_Ind02'!$B$22:$C$22</c:f>
              <c:strCache>
                <c:ptCount val="2"/>
                <c:pt idx="0">
                  <c:v>Nanociència i Nanotecnologia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'PE1.03_Ind02'!$D$12:$F$12</c15:sqref>
                  </c15:fullRef>
                </c:ext>
              </c:extLst>
              <c:f>'PE1.03_Ind02'!$D$12:$F$12</c:f>
              <c:strCache>
                <c:ptCount val="3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'PE1.03_Ind02'!$D$22:$G$22</c15:sqref>
                  </c15:fullRef>
                </c:ext>
              </c:extLst>
              <c:f>'PE1.03_Ind02'!$D$22:$F$22</c:f>
              <c:numCache>
                <c:formatCode>0.00%</c:formatCode>
                <c:ptCount val="3"/>
                <c:pt idx="0">
                  <c:v>0.81689999999999996</c:v>
                </c:pt>
                <c:pt idx="1">
                  <c:v>0.73360000000000003</c:v>
                </c:pt>
                <c:pt idx="2">
                  <c:v>0.77939999999999998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224-4373-9878-F57F86CB1C37}"/>
            </c:ext>
          </c:extLst>
        </c:ser>
        <c:ser>
          <c:idx val="12"/>
          <c:order val="12"/>
          <c:tx>
            <c:strRef>
              <c:f>'PE1.03_Ind02'!$B$23:$C$23</c:f>
              <c:strCache>
                <c:ptCount val="2"/>
                <c:pt idx="0">
                  <c:v>Química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'PE1.03_Ind02'!$D$12:$F$12</c15:sqref>
                  </c15:fullRef>
                </c:ext>
              </c:extLst>
              <c:f>'PE1.03_Ind02'!$D$12:$F$12</c:f>
              <c:strCache>
                <c:ptCount val="3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'PE1.03_Ind02'!$D$23:$G$23</c15:sqref>
                  </c15:fullRef>
                </c:ext>
              </c:extLst>
              <c:f>'PE1.03_Ind02'!$D$23:$F$23</c:f>
              <c:numCache>
                <c:formatCode>0.00%</c:formatCode>
                <c:ptCount val="3"/>
                <c:pt idx="0">
                  <c:v>0.47539999999999999</c:v>
                </c:pt>
                <c:pt idx="1">
                  <c:v>0.45450000000000002</c:v>
                </c:pt>
                <c:pt idx="2">
                  <c:v>0.39860000000000001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224-4373-9878-F57F86CB1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26556080"/>
        <c:axId val="930654752"/>
      </c:barChart>
      <c:lineChart>
        <c:grouping val="standard"/>
        <c:varyColors val="0"/>
        <c:ser>
          <c:idx val="13"/>
          <c:order val="13"/>
          <c:tx>
            <c:strRef>
              <c:f>'PE1.03_Ind02'!$B$26:$C$26</c:f>
              <c:strCache>
                <c:ptCount val="2"/>
                <c:pt idx="0">
                  <c:v>Valor objectiu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>
                    <a:lumMod val="80000"/>
                    <a:lumOff val="2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'PE1.03_Ind02'!$D$12:$F$12</c15:sqref>
                  </c15:fullRef>
                </c:ext>
              </c:extLst>
              <c:f>'PE1.03_Ind02'!$D$12:$F$12</c:f>
              <c:strCache>
                <c:ptCount val="3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'PE1.03_Ind02'!$D$26:$G$26</c15:sqref>
                  </c15:fullRef>
                </c:ext>
              </c:extLst>
              <c:f>'PE1.03_Ind02'!$D$26:$F$26</c:f>
              <c:numCache>
                <c:formatCode>0%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224-4373-9878-F57F86CB1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556080"/>
        <c:axId val="930654752"/>
      </c:lineChart>
      <c:catAx>
        <c:axId val="1326556080"/>
        <c:scaling>
          <c:orientation val="minMax"/>
        </c:scaling>
        <c:delete val="0"/>
        <c:axPos val="b"/>
        <c:numFmt formatCode="0.00%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930654752"/>
        <c:crosses val="autoZero"/>
        <c:auto val="1"/>
        <c:lblAlgn val="ctr"/>
        <c:lblOffset val="100"/>
        <c:noMultiLvlLbl val="0"/>
      </c:catAx>
      <c:valAx>
        <c:axId val="93065475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2655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1138190769039942E-2"/>
          <c:y val="0.10302011555794703"/>
          <c:w val="0.91886180923096006"/>
          <c:h val="0.173863950752589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a-ES" sz="1800" b="1">
                <a:effectLst/>
              </a:rPr>
              <a:t>PE1.03_Ind03. Taxa de graduació per curs acadèmic i titulació(per cohort, N+1, Màsters) </a:t>
            </a:r>
            <a:endParaRPr lang="ca-ES" sz="18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'PE1.03_Ind03'!$B$12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'PE1.03_Ind03'!$D$12:$F$12</c:f>
              <c:strCache>
                <c:ptCount val="3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</c:strCache>
            </c:strRef>
          </c:cat>
          <c:val>
            <c:numRef>
              <c:f>'PE1.03_Ind03'!$D$12:$F$12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9C-4F94-BD02-221C2B9C4E6F}"/>
            </c:ext>
          </c:extLst>
        </c:ser>
        <c:ser>
          <c:idx val="1"/>
          <c:order val="1"/>
          <c:tx>
            <c:strRef>
              <c:f>'PE1.03_Ind03'!$B$13:$C$13</c:f>
              <c:strCache>
                <c:ptCount val="2"/>
                <c:pt idx="0">
                  <c:v>Estudis Interdisciplinaris en Sostenibilitat Ambiental, Econòmica i Social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'PE1.03_Ind03'!$D$12:$F$12</c:f>
              <c:strCache>
                <c:ptCount val="3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</c:strCache>
            </c:strRef>
          </c:cat>
          <c:val>
            <c:numRef>
              <c:f>'PE1.03_Ind03'!$D$13:$F$13</c:f>
              <c:numCache>
                <c:formatCode>0%</c:formatCode>
                <c:ptCount val="3"/>
                <c:pt idx="0">
                  <c:v>0.94340000000000002</c:v>
                </c:pt>
                <c:pt idx="1">
                  <c:v>0.91</c:v>
                </c:pt>
                <c:pt idx="2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9C-4F94-BD02-221C2B9C4E6F}"/>
            </c:ext>
          </c:extLst>
        </c:ser>
        <c:ser>
          <c:idx val="2"/>
          <c:order val="2"/>
          <c:tx>
            <c:strRef>
              <c:f>'PE1.03_Ind03'!$B$14:$C$14</c:f>
              <c:strCache>
                <c:ptCount val="2"/>
                <c:pt idx="0">
                  <c:v>Física d'Altes Energies, Astrofísica i Cosmologiada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'PE1.03_Ind03'!$D$12:$F$12</c:f>
              <c:strCache>
                <c:ptCount val="3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</c:strCache>
            </c:strRef>
          </c:cat>
          <c:val>
            <c:numRef>
              <c:f>'PE1.03_Ind03'!$D$14:$F$14</c:f>
              <c:numCache>
                <c:formatCode>0%</c:formatCode>
                <c:ptCount val="3"/>
                <c:pt idx="0" formatCode="0.00%">
                  <c:v>0.82350000000000001</c:v>
                </c:pt>
                <c:pt idx="1">
                  <c:v>0.83</c:v>
                </c:pt>
                <c:pt idx="2">
                  <c:v>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9C-4F94-BD02-221C2B9C4E6F}"/>
            </c:ext>
          </c:extLst>
        </c:ser>
        <c:ser>
          <c:idx val="3"/>
          <c:order val="3"/>
          <c:tx>
            <c:strRef>
              <c:f>'PE1.03_Ind03'!$B$15:$C$15</c:f>
              <c:strCache>
                <c:ptCount val="2"/>
                <c:pt idx="0">
                  <c:v>Història de la Ciència. Ciència, Història i Societat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'PE1.03_Ind03'!$D$12:$F$12</c:f>
              <c:strCache>
                <c:ptCount val="3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</c:strCache>
            </c:strRef>
          </c:cat>
          <c:val>
            <c:numRef>
              <c:f>'PE1.03_Ind03'!$D$15:$F$15</c:f>
              <c:numCache>
                <c:formatCode>0%</c:formatCode>
                <c:ptCount val="3"/>
                <c:pt idx="0">
                  <c:v>0.93</c:v>
                </c:pt>
                <c:pt idx="1">
                  <c:v>1</c:v>
                </c:pt>
                <c:pt idx="2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9C-4F94-BD02-221C2B9C4E6F}"/>
            </c:ext>
          </c:extLst>
        </c:ser>
        <c:ser>
          <c:idx val="4"/>
          <c:order val="4"/>
          <c:tx>
            <c:strRef>
              <c:f>'PE1.03_Ind03'!$B$16:$C$16</c:f>
              <c:strCache>
                <c:ptCount val="2"/>
                <c:pt idx="0">
                  <c:v>Modelització per a la Ciència i l'Enginyeria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'PE1.03_Ind03'!$D$12:$F$12</c:f>
              <c:strCache>
                <c:ptCount val="3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</c:strCache>
            </c:strRef>
          </c:cat>
          <c:val>
            <c:numRef>
              <c:f>'PE1.03_Ind03'!$D$16:$F$16</c:f>
              <c:numCache>
                <c:formatCode>0%</c:formatCode>
                <c:ptCount val="3"/>
                <c:pt idx="0">
                  <c:v>0.89</c:v>
                </c:pt>
                <c:pt idx="1">
                  <c:v>0.92</c:v>
                </c:pt>
                <c:pt idx="2">
                  <c:v>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9C-4F94-BD02-221C2B9C4E6F}"/>
            </c:ext>
          </c:extLst>
        </c:ser>
        <c:ser>
          <c:idx val="5"/>
          <c:order val="5"/>
          <c:tx>
            <c:strRef>
              <c:f>'PE1.03_Ind03'!$B$17:$C$17</c:f>
              <c:strCache>
                <c:ptCount val="2"/>
                <c:pt idx="0">
                  <c:v>Nanociència i Nanotecnologia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'PE1.03_Ind03'!$D$12:$F$12</c:f>
              <c:strCache>
                <c:ptCount val="3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</c:strCache>
            </c:strRef>
          </c:cat>
          <c:val>
            <c:numRef>
              <c:f>'PE1.03_Ind03'!$D$17:$F$17</c:f>
              <c:numCache>
                <c:formatCode>0%</c:formatCode>
                <c:ptCount val="3"/>
                <c:pt idx="0">
                  <c:v>0.91</c:v>
                </c:pt>
                <c:pt idx="1">
                  <c:v>0.9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9C-4F94-BD02-221C2B9C4E6F}"/>
            </c:ext>
          </c:extLst>
        </c:ser>
        <c:ser>
          <c:idx val="6"/>
          <c:order val="6"/>
          <c:tx>
            <c:strRef>
              <c:f>'PE1.03_Ind03'!$B$18:$C$18</c:f>
              <c:strCache>
                <c:ptCount val="2"/>
                <c:pt idx="0">
                  <c:v>Paleobiologia i Registre Fòssil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'PE1.03_Ind03'!$D$12:$F$12</c:f>
              <c:strCache>
                <c:ptCount val="3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</c:strCache>
            </c:strRef>
          </c:cat>
          <c:val>
            <c:numRef>
              <c:f>'PE1.03_Ind03'!$D$18:$F$18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9C-4F94-BD02-221C2B9C4E6F}"/>
            </c:ext>
          </c:extLst>
        </c:ser>
        <c:ser>
          <c:idx val="7"/>
          <c:order val="7"/>
          <c:tx>
            <c:strRef>
              <c:f>'PE1.03_Ind03'!$B$19:$C$19</c:f>
              <c:strCache>
                <c:ptCount val="2"/>
                <c:pt idx="0">
                  <c:v>Química Industrial i Introducció a la Recerca de la Química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'PE1.03_Ind03'!$D$12:$F$12</c:f>
              <c:strCache>
                <c:ptCount val="3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</c:strCache>
            </c:strRef>
          </c:cat>
          <c:val>
            <c:numRef>
              <c:f>'PE1.03_Ind03'!$D$19:$F$19</c:f>
              <c:numCache>
                <c:formatCode>0%</c:formatCode>
                <c:ptCount val="3"/>
                <c:pt idx="0">
                  <c:v>0.95</c:v>
                </c:pt>
                <c:pt idx="1">
                  <c:v>1</c:v>
                </c:pt>
                <c:pt idx="2">
                  <c:v>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69C-4F94-BD02-221C2B9C4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34842816"/>
        <c:axId val="1348426720"/>
      </c:barChart>
      <c:lineChart>
        <c:grouping val="standard"/>
        <c:varyColors val="0"/>
        <c:ser>
          <c:idx val="8"/>
          <c:order val="8"/>
          <c:tx>
            <c:strRef>
              <c:f>'PE1.03_Ind03'!$B$22:$C$22</c:f>
              <c:strCache>
                <c:ptCount val="2"/>
                <c:pt idx="0">
                  <c:v>Valor objectiu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>
                    <a:lumMod val="6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val>
            <c:numRef>
              <c:f>'PE1.03_Ind03'!$D$22:$F$22</c:f>
              <c:numCache>
                <c:formatCode>0%</c:formatCode>
                <c:ptCount val="3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9C-4F94-BD02-221C2B9C4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4842816"/>
        <c:axId val="1348426720"/>
      </c:lineChart>
      <c:catAx>
        <c:axId val="153484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48426720"/>
        <c:crosses val="autoZero"/>
        <c:auto val="1"/>
        <c:lblAlgn val="ctr"/>
        <c:lblOffset val="100"/>
        <c:noMultiLvlLbl val="0"/>
      </c:catAx>
      <c:valAx>
        <c:axId val="134842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34842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a-ES"/>
              <a:t>Titulacions :Taxa d'ocupació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'PE1.03_Ind04 '!$B$13</c:f>
              <c:strCache>
                <c:ptCount val="1"/>
                <c:pt idx="0">
                  <c:v>Ciències Ambientals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'PE1.03_Ind04 '!$D$12:$G$12</c:f>
              <c:numCache>
                <c:formatCode>General</c:formatCode>
                <c:ptCount val="4"/>
                <c:pt idx="0">
                  <c:v>2014</c:v>
                </c:pt>
                <c:pt idx="1">
                  <c:v>2017</c:v>
                </c:pt>
                <c:pt idx="2">
                  <c:v>2020</c:v>
                </c:pt>
                <c:pt idx="3">
                  <c:v>2023</c:v>
                </c:pt>
              </c:numCache>
            </c:numRef>
          </c:cat>
          <c:val>
            <c:numRef>
              <c:f>'PE1.03_Ind04 '!$C$13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6447-4357-B67F-CEFCD3A96F4E}"/>
            </c:ext>
          </c:extLst>
        </c:ser>
        <c:ser>
          <c:idx val="1"/>
          <c:order val="1"/>
          <c:tx>
            <c:strRef>
              <c:f>'PE1.03_Ind04 '!$B$13:$C$13</c:f>
              <c:strCache>
                <c:ptCount val="2"/>
                <c:pt idx="0">
                  <c:v>Ciències Ambientals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'PE1.03_Ind04 '!$D$12:$G$12</c:f>
              <c:numCache>
                <c:formatCode>General</c:formatCode>
                <c:ptCount val="4"/>
                <c:pt idx="0">
                  <c:v>2014</c:v>
                </c:pt>
                <c:pt idx="1">
                  <c:v>2017</c:v>
                </c:pt>
                <c:pt idx="2">
                  <c:v>2020</c:v>
                </c:pt>
                <c:pt idx="3">
                  <c:v>2023</c:v>
                </c:pt>
              </c:numCache>
            </c:numRef>
          </c:cat>
          <c:val>
            <c:numRef>
              <c:f>'PE1.03_Ind04 '!$D$13:$G$13</c:f>
              <c:numCache>
                <c:formatCode>0.00%</c:formatCode>
                <c:ptCount val="4"/>
                <c:pt idx="0" formatCode="0%">
                  <c:v>0.7</c:v>
                </c:pt>
                <c:pt idx="1">
                  <c:v>0.84199999999999997</c:v>
                </c:pt>
                <c:pt idx="2" formatCode="0%">
                  <c:v>0.77</c:v>
                </c:pt>
                <c:pt idx="3">
                  <c:v>0.85699999999999998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47-4357-B67F-CEFCD3A96F4E}"/>
            </c:ext>
          </c:extLst>
        </c:ser>
        <c:ser>
          <c:idx val="2"/>
          <c:order val="2"/>
          <c:tx>
            <c:strRef>
              <c:f>'PE1.03_Ind04 '!$B$14:$C$14</c:f>
              <c:strCache>
                <c:ptCount val="2"/>
                <c:pt idx="0">
                  <c:v>Estadística Aplicada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'PE1.03_Ind04 '!$D$12:$G$12</c:f>
              <c:numCache>
                <c:formatCode>General</c:formatCode>
                <c:ptCount val="4"/>
                <c:pt idx="0">
                  <c:v>2014</c:v>
                </c:pt>
                <c:pt idx="1">
                  <c:v>2017</c:v>
                </c:pt>
                <c:pt idx="2">
                  <c:v>2020</c:v>
                </c:pt>
                <c:pt idx="3">
                  <c:v>2023</c:v>
                </c:pt>
              </c:numCache>
            </c:numRef>
          </c:cat>
          <c:val>
            <c:numRef>
              <c:f>'PE1.03_Ind04 '!$D$14:$G$14</c:f>
              <c:numCache>
                <c:formatCode>0.00%</c:formatCode>
                <c:ptCount val="4"/>
                <c:pt idx="0" formatCode="0%">
                  <c:v>0.87</c:v>
                </c:pt>
                <c:pt idx="1">
                  <c:v>0.95699999999999996</c:v>
                </c:pt>
                <c:pt idx="2">
                  <c:v>0.90300000000000002</c:v>
                </c:pt>
                <c:pt idx="3">
                  <c:v>0.92600000000000005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47-4357-B67F-CEFCD3A96F4E}"/>
            </c:ext>
          </c:extLst>
        </c:ser>
        <c:ser>
          <c:idx val="3"/>
          <c:order val="3"/>
          <c:tx>
            <c:strRef>
              <c:f>'PE1.03_Ind04 '!$B$15:$C$15</c:f>
              <c:strCache>
                <c:ptCount val="2"/>
                <c:pt idx="0">
                  <c:v>Física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'PE1.03_Ind04 '!$D$12:$G$12</c:f>
              <c:numCache>
                <c:formatCode>General</c:formatCode>
                <c:ptCount val="4"/>
                <c:pt idx="0">
                  <c:v>2014</c:v>
                </c:pt>
                <c:pt idx="1">
                  <c:v>2017</c:v>
                </c:pt>
                <c:pt idx="2">
                  <c:v>2020</c:v>
                </c:pt>
                <c:pt idx="3">
                  <c:v>2023</c:v>
                </c:pt>
              </c:numCache>
            </c:numRef>
          </c:cat>
          <c:val>
            <c:numRef>
              <c:f>'PE1.03_Ind04 '!$D$15:$G$15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 formatCode="0%">
                  <c:v>0.87</c:v>
                </c:pt>
                <c:pt idx="3" formatCode="0%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47-4357-B67F-CEFCD3A96F4E}"/>
            </c:ext>
          </c:extLst>
        </c:ser>
        <c:ser>
          <c:idx val="4"/>
          <c:order val="4"/>
          <c:tx>
            <c:strRef>
              <c:f>'PE1.03_Ind04 '!$B$16:$C$16</c:f>
              <c:strCache>
                <c:ptCount val="2"/>
                <c:pt idx="0">
                  <c:v>Geologia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'PE1.03_Ind04 '!$D$12:$G$12</c:f>
              <c:numCache>
                <c:formatCode>General</c:formatCode>
                <c:ptCount val="4"/>
                <c:pt idx="0">
                  <c:v>2014</c:v>
                </c:pt>
                <c:pt idx="1">
                  <c:v>2017</c:v>
                </c:pt>
                <c:pt idx="2">
                  <c:v>2020</c:v>
                </c:pt>
                <c:pt idx="3">
                  <c:v>2023</c:v>
                </c:pt>
              </c:numCache>
            </c:numRef>
          </c:cat>
          <c:val>
            <c:numRef>
              <c:f>'PE1.03_Ind04 '!$D$16:$G$16</c:f>
              <c:numCache>
                <c:formatCode>0.00%</c:formatCode>
                <c:ptCount val="4"/>
                <c:pt idx="0" formatCode="0.000%">
                  <c:v>0</c:v>
                </c:pt>
                <c:pt idx="1">
                  <c:v>0.69599999999999995</c:v>
                </c:pt>
                <c:pt idx="2">
                  <c:v>0.90300000000000002</c:v>
                </c:pt>
                <c:pt idx="3">
                  <c:v>0.93200000000000005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47-4357-B67F-CEFCD3A96F4E}"/>
            </c:ext>
          </c:extLst>
        </c:ser>
        <c:ser>
          <c:idx val="5"/>
          <c:order val="5"/>
          <c:tx>
            <c:strRef>
              <c:f>'PE1.03_Ind04 '!$B$18:$C$18</c:f>
              <c:strCache>
                <c:ptCount val="2"/>
                <c:pt idx="0">
                  <c:v>Matemàtiques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'PE1.03_Ind04 '!$D$12:$G$12</c:f>
              <c:numCache>
                <c:formatCode>General</c:formatCode>
                <c:ptCount val="4"/>
                <c:pt idx="0">
                  <c:v>2014</c:v>
                </c:pt>
                <c:pt idx="1">
                  <c:v>2017</c:v>
                </c:pt>
                <c:pt idx="2">
                  <c:v>2020</c:v>
                </c:pt>
                <c:pt idx="3">
                  <c:v>2023</c:v>
                </c:pt>
              </c:numCache>
            </c:numRef>
          </c:cat>
          <c:val>
            <c:numRef>
              <c:f>'PE1.03_Ind04 '!$D$18:$G$18</c:f>
              <c:numCache>
                <c:formatCode>0%</c:formatCode>
                <c:ptCount val="4"/>
                <c:pt idx="0" formatCode="0.00%">
                  <c:v>0.95699999999999996</c:v>
                </c:pt>
                <c:pt idx="1">
                  <c:v>0.87</c:v>
                </c:pt>
                <c:pt idx="2" formatCode="0.00%">
                  <c:v>0.90300000000000002</c:v>
                </c:pt>
                <c:pt idx="3" formatCode="0.00%">
                  <c:v>0.88600000000000001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447-4357-B67F-CEFCD3A96F4E}"/>
            </c:ext>
          </c:extLst>
        </c:ser>
        <c:ser>
          <c:idx val="6"/>
          <c:order val="6"/>
          <c:tx>
            <c:strRef>
              <c:f>'PE1.03_Ind04 '!$B$19:$C$19</c:f>
              <c:strCache>
                <c:ptCount val="2"/>
                <c:pt idx="0">
                  <c:v>Nanociència i Nanotecnologia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'PE1.03_Ind04 '!$D$12:$G$12</c:f>
              <c:numCache>
                <c:formatCode>General</c:formatCode>
                <c:ptCount val="4"/>
                <c:pt idx="0">
                  <c:v>2014</c:v>
                </c:pt>
                <c:pt idx="1">
                  <c:v>2017</c:v>
                </c:pt>
                <c:pt idx="2">
                  <c:v>2020</c:v>
                </c:pt>
                <c:pt idx="3">
                  <c:v>2023</c:v>
                </c:pt>
              </c:numCache>
            </c:numRef>
          </c:cat>
          <c:val>
            <c:numRef>
              <c:f>'PE1.03_Ind04 '!$D$19:$G$19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0.91100000000000003</c:v>
                </c:pt>
                <c:pt idx="3">
                  <c:v>0.83599999999999997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47-4357-B67F-CEFCD3A96F4E}"/>
            </c:ext>
          </c:extLst>
        </c:ser>
        <c:ser>
          <c:idx val="7"/>
          <c:order val="7"/>
          <c:tx>
            <c:strRef>
              <c:f>'PE1.03_Ind04 '!$B$20:$C$20</c:f>
              <c:strCache>
                <c:ptCount val="2"/>
                <c:pt idx="0">
                  <c:v>Química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'PE1.03_Ind04 '!$D$12:$G$12</c:f>
              <c:numCache>
                <c:formatCode>General</c:formatCode>
                <c:ptCount val="4"/>
                <c:pt idx="0">
                  <c:v>2014</c:v>
                </c:pt>
                <c:pt idx="1">
                  <c:v>2017</c:v>
                </c:pt>
                <c:pt idx="2">
                  <c:v>2020</c:v>
                </c:pt>
                <c:pt idx="3">
                  <c:v>2023</c:v>
                </c:pt>
              </c:numCache>
            </c:numRef>
          </c:cat>
          <c:val>
            <c:numRef>
              <c:f>'PE1.03_Ind04 '!$D$20:$G$20</c:f>
              <c:numCache>
                <c:formatCode>0.00%</c:formatCode>
                <c:ptCount val="4"/>
                <c:pt idx="0">
                  <c:v>0.81299999999999994</c:v>
                </c:pt>
                <c:pt idx="1">
                  <c:v>0.91800000000000004</c:v>
                </c:pt>
                <c:pt idx="2">
                  <c:v>0.90600000000000003</c:v>
                </c:pt>
                <c:pt idx="3">
                  <c:v>0.90100000000000002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447-4357-B67F-CEFCD3A96F4E}"/>
            </c:ext>
          </c:extLst>
        </c:ser>
        <c:ser>
          <c:idx val="8"/>
          <c:order val="8"/>
          <c:tx>
            <c:strRef>
              <c:f>'PE1.03_Ind04 '!$B$21:$C$21</c:f>
              <c:strCache>
                <c:ptCount val="2"/>
                <c:pt idx="0">
                  <c:v>Estudis Interdisciplinaris en Sostenibilitat Ambiental, Econòmica i Social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'PE1.03_Ind04 '!$D$12:$G$12</c:f>
              <c:numCache>
                <c:formatCode>General</c:formatCode>
                <c:ptCount val="4"/>
                <c:pt idx="0">
                  <c:v>2014</c:v>
                </c:pt>
                <c:pt idx="1">
                  <c:v>2017</c:v>
                </c:pt>
                <c:pt idx="2">
                  <c:v>2020</c:v>
                </c:pt>
                <c:pt idx="3">
                  <c:v>2023</c:v>
                </c:pt>
              </c:numCache>
            </c:numRef>
          </c:cat>
          <c:val>
            <c:numRef>
              <c:f>'PE1.03_Ind04 '!$D$21:$G$21</c:f>
              <c:numCache>
                <c:formatCode>0.00%</c:formatCode>
                <c:ptCount val="4"/>
                <c:pt idx="0">
                  <c:v>0.878</c:v>
                </c:pt>
                <c:pt idx="1">
                  <c:v>0.92200000000000004</c:v>
                </c:pt>
                <c:pt idx="2">
                  <c:v>0.875</c:v>
                </c:pt>
                <c:pt idx="3" formatCode="0%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447-4357-B67F-CEFCD3A96F4E}"/>
            </c:ext>
          </c:extLst>
        </c:ser>
        <c:ser>
          <c:idx val="9"/>
          <c:order val="9"/>
          <c:tx>
            <c:strRef>
              <c:f>'PE1.03_Ind04 '!$B$22:$C$22</c:f>
              <c:strCache>
                <c:ptCount val="2"/>
                <c:pt idx="0">
                  <c:v>Física d’Altes Energies, Astrofísica i Cosmologia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'PE1.03_Ind04 '!$D$12:$G$12</c:f>
              <c:numCache>
                <c:formatCode>General</c:formatCode>
                <c:ptCount val="4"/>
                <c:pt idx="0">
                  <c:v>2014</c:v>
                </c:pt>
                <c:pt idx="1">
                  <c:v>2017</c:v>
                </c:pt>
                <c:pt idx="2">
                  <c:v>2020</c:v>
                </c:pt>
                <c:pt idx="3">
                  <c:v>2023</c:v>
                </c:pt>
              </c:numCache>
            </c:numRef>
          </c:cat>
          <c:val>
            <c:numRef>
              <c:f>'PE1.03_Ind04 '!$D$22:$G$22</c:f>
              <c:numCache>
                <c:formatCode>0.00%</c:formatCode>
                <c:ptCount val="4"/>
                <c:pt idx="0">
                  <c:v>0.76300000000000001</c:v>
                </c:pt>
                <c:pt idx="1">
                  <c:v>0.76800000000000002</c:v>
                </c:pt>
                <c:pt idx="2" formatCode="0%">
                  <c:v>0.85</c:v>
                </c:pt>
                <c:pt idx="3">
                  <c:v>0.95199999999999996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447-4357-B67F-CEFCD3A96F4E}"/>
            </c:ext>
          </c:extLst>
        </c:ser>
        <c:ser>
          <c:idx val="10"/>
          <c:order val="10"/>
          <c:tx>
            <c:strRef>
              <c:f>'PE1.03_Ind04 '!$B$23:$C$23</c:f>
              <c:strCache>
                <c:ptCount val="2"/>
                <c:pt idx="0">
                  <c:v>Història de la Ciència: Ciència, Història i Societat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'PE1.03_Ind04 '!$D$12:$G$12</c:f>
              <c:numCache>
                <c:formatCode>General</c:formatCode>
                <c:ptCount val="4"/>
                <c:pt idx="0">
                  <c:v>2014</c:v>
                </c:pt>
                <c:pt idx="1">
                  <c:v>2017</c:v>
                </c:pt>
                <c:pt idx="2">
                  <c:v>2020</c:v>
                </c:pt>
                <c:pt idx="3">
                  <c:v>2023</c:v>
                </c:pt>
              </c:numCache>
            </c:numRef>
          </c:cat>
          <c:val>
            <c:numRef>
              <c:f>'PE1.03_Ind04 '!$D$23:$G$23</c:f>
              <c:numCache>
                <c:formatCode>0.00%</c:formatCode>
                <c:ptCount val="4"/>
                <c:pt idx="0">
                  <c:v>0.71899999999999997</c:v>
                </c:pt>
                <c:pt idx="1">
                  <c:v>0.81299999999999994</c:v>
                </c:pt>
                <c:pt idx="2">
                  <c:v>0.877</c:v>
                </c:pt>
                <c:pt idx="3">
                  <c:v>0.76500000000000001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447-4357-B67F-CEFCD3A96F4E}"/>
            </c:ext>
          </c:extLst>
        </c:ser>
        <c:ser>
          <c:idx val="11"/>
          <c:order val="11"/>
          <c:tx>
            <c:strRef>
              <c:f>'PE1.03_Ind04 '!$B$24:$C$24</c:f>
              <c:strCache>
                <c:ptCount val="2"/>
                <c:pt idx="0">
                  <c:v>Modelització per a la Ciència, Història i Societat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'PE1.03_Ind04 '!$D$12:$G$12</c:f>
              <c:numCache>
                <c:formatCode>General</c:formatCode>
                <c:ptCount val="4"/>
                <c:pt idx="0">
                  <c:v>2014</c:v>
                </c:pt>
                <c:pt idx="1">
                  <c:v>2017</c:v>
                </c:pt>
                <c:pt idx="2">
                  <c:v>2020</c:v>
                </c:pt>
                <c:pt idx="3">
                  <c:v>2023</c:v>
                </c:pt>
              </c:numCache>
            </c:numRef>
          </c:cat>
          <c:val>
            <c:numRef>
              <c:f>'PE1.03_Ind04 '!$D$24:$G$24</c:f>
              <c:numCache>
                <c:formatCode>0.00%</c:formatCode>
                <c:ptCount val="4"/>
                <c:pt idx="0">
                  <c:v>0.76300000000000001</c:v>
                </c:pt>
                <c:pt idx="1">
                  <c:v>0.76800000000000002</c:v>
                </c:pt>
                <c:pt idx="2" formatCode="0%">
                  <c:v>0.85</c:v>
                </c:pt>
                <c:pt idx="3">
                  <c:v>0.93600000000000005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447-4357-B67F-CEFCD3A96F4E}"/>
            </c:ext>
          </c:extLst>
        </c:ser>
        <c:ser>
          <c:idx val="12"/>
          <c:order val="12"/>
          <c:tx>
            <c:strRef>
              <c:f>'PE1.03_Ind04 '!$B$25:$C$25</c:f>
              <c:strCache>
                <c:ptCount val="2"/>
                <c:pt idx="0">
                  <c:v>Nanociència i Nanotecnologia Avançades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'PE1.03_Ind04 '!$D$12:$G$12</c:f>
              <c:numCache>
                <c:formatCode>General</c:formatCode>
                <c:ptCount val="4"/>
                <c:pt idx="0">
                  <c:v>2014</c:v>
                </c:pt>
                <c:pt idx="1">
                  <c:v>2017</c:v>
                </c:pt>
                <c:pt idx="2">
                  <c:v>2020</c:v>
                </c:pt>
                <c:pt idx="3">
                  <c:v>2023</c:v>
                </c:pt>
              </c:numCache>
            </c:numRef>
          </c:cat>
          <c:val>
            <c:numRef>
              <c:f>'PE1.03_Ind04 '!$D$25:$G$25</c:f>
              <c:numCache>
                <c:formatCode>0.00%</c:formatCode>
                <c:ptCount val="4"/>
                <c:pt idx="0" formatCode="0%">
                  <c:v>0.92</c:v>
                </c:pt>
                <c:pt idx="1">
                  <c:v>0.89300000000000002</c:v>
                </c:pt>
                <c:pt idx="2">
                  <c:v>0.97099999999999997</c:v>
                </c:pt>
                <c:pt idx="3">
                  <c:v>0.95499999999999996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447-4357-B67F-CEFCD3A96F4E}"/>
            </c:ext>
          </c:extLst>
        </c:ser>
        <c:ser>
          <c:idx val="13"/>
          <c:order val="13"/>
          <c:tx>
            <c:strRef>
              <c:f>'PE1.03_Ind04 '!$B$26:$C$26</c:f>
              <c:strCache>
                <c:ptCount val="2"/>
                <c:pt idx="0">
                  <c:v>Paleobiologia i Registre Fòssil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'PE1.03_Ind04 '!$D$12:$G$12</c:f>
              <c:numCache>
                <c:formatCode>General</c:formatCode>
                <c:ptCount val="4"/>
                <c:pt idx="0">
                  <c:v>2014</c:v>
                </c:pt>
                <c:pt idx="1">
                  <c:v>2017</c:v>
                </c:pt>
                <c:pt idx="2">
                  <c:v>2020</c:v>
                </c:pt>
                <c:pt idx="3">
                  <c:v>2023</c:v>
                </c:pt>
              </c:numCache>
            </c:numRef>
          </c:cat>
          <c:val>
            <c:numRef>
              <c:f>'PE1.03_Ind04 '!$D$26:$G$26</c:f>
              <c:numCache>
                <c:formatCode>0.00%</c:formatCode>
                <c:ptCount val="4"/>
                <c:pt idx="0">
                  <c:v>0.83599999999999997</c:v>
                </c:pt>
                <c:pt idx="1">
                  <c:v>0.88900000000000001</c:v>
                </c:pt>
                <c:pt idx="2" formatCode="0%">
                  <c:v>0.88</c:v>
                </c:pt>
                <c:pt idx="3">
                  <c:v>0.86699999999999999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447-4357-B67F-CEFCD3A96F4E}"/>
            </c:ext>
          </c:extLst>
        </c:ser>
        <c:ser>
          <c:idx val="14"/>
          <c:order val="14"/>
          <c:tx>
            <c:strRef>
              <c:f>'PE1.03_Ind04 '!$B$27:$C$27</c:f>
              <c:strCache>
                <c:ptCount val="2"/>
                <c:pt idx="0">
                  <c:v>Química Industrial i Introducció a la Recerca Química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'PE1.03_Ind04 '!$D$12:$G$12</c:f>
              <c:numCache>
                <c:formatCode>General</c:formatCode>
                <c:ptCount val="4"/>
                <c:pt idx="0">
                  <c:v>2014</c:v>
                </c:pt>
                <c:pt idx="1">
                  <c:v>2017</c:v>
                </c:pt>
                <c:pt idx="2">
                  <c:v>2020</c:v>
                </c:pt>
                <c:pt idx="3">
                  <c:v>2023</c:v>
                </c:pt>
              </c:numCache>
            </c:numRef>
          </c:cat>
          <c:val>
            <c:numRef>
              <c:f>'PE1.03_Ind04 '!$D$27:$G$27</c:f>
              <c:numCache>
                <c:formatCode>0.00%</c:formatCode>
                <c:ptCount val="4"/>
                <c:pt idx="0" formatCode="0%">
                  <c:v>0.95</c:v>
                </c:pt>
                <c:pt idx="1">
                  <c:v>0.69199999999999995</c:v>
                </c:pt>
                <c:pt idx="2">
                  <c:v>0.82899999999999996</c:v>
                </c:pt>
                <c:pt idx="3">
                  <c:v>0.92200000000000004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447-4357-B67F-CEFCD3A96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4589536"/>
        <c:axId val="514590368"/>
      </c:barChart>
      <c:lineChart>
        <c:grouping val="standard"/>
        <c:varyColors val="0"/>
        <c:ser>
          <c:idx val="15"/>
          <c:order val="15"/>
          <c:tx>
            <c:strRef>
              <c:f>'PE1.03_Ind04 '!$B$30:$C$30</c:f>
              <c:strCache>
                <c:ptCount val="2"/>
                <c:pt idx="0">
                  <c:v>Objectiu</c:v>
                </c:pt>
              </c:strCache>
            </c:strRef>
          </c:tx>
          <c:spPr>
            <a:ln w="3492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4">
                    <a:lumMod val="80000"/>
                    <a:lumOff val="2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0"/>
              <c:layout>
                <c:manualLayout>
                  <c:x val="-3.7842947991473352E-3"/>
                  <c:y val="3.3444810181829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47-4357-B67F-CEFCD3A96F4E}"/>
                </c:ext>
              </c:extLst>
            </c:dLbl>
            <c:dLbl>
              <c:idx val="1"/>
              <c:layout>
                <c:manualLayout>
                  <c:x val="-1.1352884397441936E-2"/>
                  <c:y val="3.3444810181829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47-4357-B67F-CEFCD3A96F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'PE1.03_Ind04 '!$D$30:$F$30</c:f>
              <c:numCache>
                <c:formatCode>0%</c:formatCode>
                <c:ptCount val="3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447-4357-B67F-CEFCD3A96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589536"/>
        <c:axId val="514590368"/>
      </c:lineChart>
      <c:catAx>
        <c:axId val="51458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14590368"/>
        <c:crosses val="autoZero"/>
        <c:auto val="1"/>
        <c:lblAlgn val="ctr"/>
        <c:lblOffset val="100"/>
        <c:noMultiLvlLbl val="0"/>
      </c:catAx>
      <c:valAx>
        <c:axId val="514590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1458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a-ES"/>
              <a:t>Compliment: PE1.03_Ind05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'PE1.03_Ind04 '!$B$31:$C$31</c:f>
              <c:strCache>
                <c:ptCount val="2"/>
                <c:pt idx="0">
                  <c:v>Compliment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9414-4A9F-B116-9213EC30729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414-4A9F-B116-9213EC30729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9414-4A9F-B116-9213EC3072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'PE1.03_Ind04 '!$D$12:$F$12</c:f>
              <c:numCache>
                <c:formatCode>General</c:formatCode>
                <c:ptCount val="3"/>
                <c:pt idx="0">
                  <c:v>2014</c:v>
                </c:pt>
                <c:pt idx="1">
                  <c:v>2017</c:v>
                </c:pt>
                <c:pt idx="2">
                  <c:v>2020</c:v>
                </c:pt>
              </c:numCache>
            </c:numRef>
          </c:cat>
          <c:val>
            <c:numRef>
              <c:f>'PE1.03_Ind04 '!$D$31:$F$31</c:f>
              <c:numCache>
                <c:formatCode>0.00%</c:formatCode>
                <c:ptCount val="3"/>
                <c:pt idx="0" formatCode="0%">
                  <c:v>1</c:v>
                </c:pt>
                <c:pt idx="1">
                  <c:v>0.83333333333333337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14-4A9F-B116-9213EC3072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43978336"/>
        <c:axId val="843978752"/>
      </c:barChart>
      <c:lineChart>
        <c:grouping val="standard"/>
        <c:varyColors val="0"/>
        <c:ser>
          <c:idx val="1"/>
          <c:order val="1"/>
          <c:tx>
            <c:strRef>
              <c:f>'PE1.03_Ind04 '!$B$30:$C$30</c:f>
              <c:strCache>
                <c:ptCount val="2"/>
                <c:pt idx="0">
                  <c:v>Objectiu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0"/>
              <c:layout>
                <c:manualLayout>
                  <c:x val="2.4999999999999949E-2"/>
                  <c:y val="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14-4A9F-B116-9213EC307299}"/>
                </c:ext>
              </c:extLst>
            </c:dLbl>
            <c:dLbl>
              <c:idx val="1"/>
              <c:layout>
                <c:manualLayout>
                  <c:x val="2.5000000000000001E-2"/>
                  <c:y val="5.5555555555555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14-4A9F-B116-9213EC307299}"/>
                </c:ext>
              </c:extLst>
            </c:dLbl>
            <c:dLbl>
              <c:idx val="2"/>
              <c:layout>
                <c:manualLayout>
                  <c:x val="3.3333333333333333E-2"/>
                  <c:y val="6.4814814814814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14-4A9F-B116-9213EC3072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'PE1.03_Ind04 '!$D$12:$F$12</c:f>
              <c:numCache>
                <c:formatCode>General</c:formatCode>
                <c:ptCount val="3"/>
                <c:pt idx="0">
                  <c:v>2014</c:v>
                </c:pt>
                <c:pt idx="1">
                  <c:v>2017</c:v>
                </c:pt>
                <c:pt idx="2">
                  <c:v>2020</c:v>
                </c:pt>
              </c:numCache>
            </c:numRef>
          </c:cat>
          <c:val>
            <c:numRef>
              <c:f>'PE1.03_Ind04 '!$D$30:$F$30</c:f>
              <c:numCache>
                <c:formatCode>0%</c:formatCode>
                <c:ptCount val="3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14-4A9F-B116-9213EC3072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43978336"/>
        <c:axId val="843978752"/>
      </c:lineChart>
      <c:catAx>
        <c:axId val="84397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43978752"/>
        <c:crosses val="autoZero"/>
        <c:auto val="1"/>
        <c:lblAlgn val="ctr"/>
        <c:lblOffset val="100"/>
        <c:noMultiLvlLbl val="0"/>
      </c:catAx>
      <c:valAx>
        <c:axId val="84397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43978336"/>
        <c:crosses val="autoZero"/>
        <c:crossBetween val="between"/>
      </c:valAx>
      <c:spPr>
        <a:noFill/>
        <a:ln>
          <a:solidFill>
            <a:schemeClr val="accent4">
              <a:lumMod val="75000"/>
            </a:schemeClr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a-ES" sz="1200"/>
              <a:t>PE1.02_Ind01. Percentatge de processos modificats en cada revisió</a:t>
            </a:r>
          </a:p>
        </c:rich>
      </c:tx>
      <c:layout>
        <c:manualLayout>
          <c:xMode val="edge"/>
          <c:yMode val="edge"/>
          <c:x val="0.1329583088960155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7.430577427821522E-2"/>
          <c:y val="3.7037037037037035E-2"/>
          <c:w val="0.89513867016622917"/>
          <c:h val="0.847314814814814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'PE1.03_Ind05'!$C$12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'PE1.03_Ind05'!$F$12:$J$12</c:f>
              <c:strCache>
                <c:ptCount val="5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  <c:pt idx="4">
                  <c:v>2023/2024</c:v>
                </c:pt>
              </c:strCache>
            </c:strRef>
          </c:cat>
          <c:val>
            <c:numRef>
              <c:f>'PE1.03_Ind05'!$D$12:$J$12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D-4470-95BF-EC3C9CF232BB}"/>
            </c:ext>
          </c:extLst>
        </c:ser>
        <c:ser>
          <c:idx val="1"/>
          <c:order val="1"/>
          <c:tx>
            <c:strRef>
              <c:f>'PE1.03_Ind05'!$B$15</c:f>
              <c:strCache>
                <c:ptCount val="1"/>
                <c:pt idx="0">
                  <c:v>% titulacions presentades per ser verificades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66FF33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23D-4470-95BF-EC3C9CF232BB}"/>
              </c:ext>
            </c:extLst>
          </c:dPt>
          <c:dPt>
            <c:idx val="1"/>
            <c:invertIfNegative val="0"/>
            <c:bubble3D val="0"/>
            <c:spPr>
              <a:solidFill>
                <a:srgbClr val="66FF33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223D-4470-95BF-EC3C9CF232BB}"/>
              </c:ext>
            </c:extLst>
          </c:dPt>
          <c:dPt>
            <c:idx val="2"/>
            <c:invertIfNegative val="0"/>
            <c:bubble3D val="0"/>
            <c:spPr>
              <a:solidFill>
                <a:srgbClr val="66FF33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23D-4470-95BF-EC3C9CF232BB}"/>
              </c:ext>
            </c:extLst>
          </c:dPt>
          <c:dPt>
            <c:idx val="3"/>
            <c:invertIfNegative val="0"/>
            <c:bubble3D val="0"/>
            <c:spPr>
              <a:solidFill>
                <a:srgbClr val="66FF33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223D-4470-95BF-EC3C9CF232BB}"/>
              </c:ext>
            </c:extLst>
          </c:dPt>
          <c:dPt>
            <c:idx val="4"/>
            <c:invertIfNegative val="0"/>
            <c:bubble3D val="0"/>
            <c:spPr>
              <a:solidFill>
                <a:srgbClr val="66FF33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23D-4470-95BF-EC3C9CF232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'PE1.03_Ind05'!$F$12:$J$12</c:f>
              <c:strCache>
                <c:ptCount val="5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  <c:pt idx="4">
                  <c:v>2023/2024</c:v>
                </c:pt>
              </c:strCache>
            </c:strRef>
          </c:cat>
          <c:val>
            <c:numRef>
              <c:f>'PE1.03_Ind05'!$F$15:$J$15</c:f>
              <c:numCache>
                <c:formatCode>0%</c:formatCode>
                <c:ptCount val="5"/>
                <c:pt idx="0">
                  <c:v>6.6666666666666666E-2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3D-4470-95BF-EC3C9CF232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642390063"/>
        <c:axId val="513460655"/>
      </c:barChart>
      <c:lineChart>
        <c:grouping val="standard"/>
        <c:varyColors val="0"/>
        <c:ser>
          <c:idx val="2"/>
          <c:order val="2"/>
          <c:tx>
            <c:strRef>
              <c:f>'PE1.03_Ind05'!$F$12:$J$12</c:f>
              <c:strCache>
                <c:ptCount val="5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  <c:pt idx="4">
                  <c:v>2023/2024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'PE1.03_Ind05'!$D$12:$H$12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'PE1.03_Ind05'!$D$16:$H$16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3D-4470-95BF-EC3C9CF232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42390063"/>
        <c:axId val="513460655"/>
      </c:lineChart>
      <c:catAx>
        <c:axId val="642390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13460655"/>
        <c:crosses val="autoZero"/>
        <c:auto val="1"/>
        <c:lblAlgn val="ctr"/>
        <c:lblOffset val="100"/>
        <c:noMultiLvlLbl val="0"/>
      </c:catAx>
      <c:valAx>
        <c:axId val="513460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423900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9254651409461275E-2"/>
          <c:y val="0.31036188168786594"/>
          <c:w val="0.14477607097844941"/>
          <c:h val="0.180731244222745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a-ES" sz="1200"/>
              <a:t>PE1.02_Ind01. Percentatge de processos modificats en cada revisió</a:t>
            </a:r>
          </a:p>
        </c:rich>
      </c:tx>
      <c:layout>
        <c:manualLayout>
          <c:xMode val="edge"/>
          <c:yMode val="edge"/>
          <c:x val="0.1329583088960155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7.430577427821522E-2"/>
          <c:y val="3.7037037037037035E-2"/>
          <c:w val="0.89513867016622917"/>
          <c:h val="0.847314814814814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'PE1.03_Ind06'!$C$12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'PE1.03_Ind06'!$G$12:$I$12</c:f>
              <c:strCache>
                <c:ptCount val="3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</c:strCache>
            </c:strRef>
          </c:cat>
          <c:val>
            <c:numRef>
              <c:f>'PE1.03_Ind06'!$D$12:$H$12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91-4CFE-AEAF-EF3C5665FCF5}"/>
            </c:ext>
          </c:extLst>
        </c:ser>
        <c:ser>
          <c:idx val="1"/>
          <c:order val="1"/>
          <c:tx>
            <c:strRef>
              <c:f>'PE1.03_Ind06'!$B$15</c:f>
              <c:strCache>
                <c:ptCount val="1"/>
                <c:pt idx="0">
                  <c:v>% titulacions presentades per ser verificades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66FF33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C91-4CFE-AEAF-EF3C5665FCF5}"/>
              </c:ext>
            </c:extLst>
          </c:dPt>
          <c:dPt>
            <c:idx val="1"/>
            <c:invertIfNegative val="0"/>
            <c:bubble3D val="0"/>
            <c:spPr>
              <a:solidFill>
                <a:srgbClr val="66FF33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C91-4CFE-AEAF-EF3C5665FCF5}"/>
              </c:ext>
            </c:extLst>
          </c:dPt>
          <c:dPt>
            <c:idx val="2"/>
            <c:invertIfNegative val="0"/>
            <c:bubble3D val="0"/>
            <c:spPr>
              <a:solidFill>
                <a:srgbClr val="66FF33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FC91-4CFE-AEAF-EF3C5665FCF5}"/>
              </c:ext>
            </c:extLst>
          </c:dPt>
          <c:dPt>
            <c:idx val="3"/>
            <c:invertIfNegative val="0"/>
            <c:bubble3D val="0"/>
            <c:spPr>
              <a:solidFill>
                <a:srgbClr val="66FF33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FC91-4CFE-AEAF-EF3C5665FCF5}"/>
              </c:ext>
            </c:extLst>
          </c:dPt>
          <c:dPt>
            <c:idx val="4"/>
            <c:invertIfNegative val="0"/>
            <c:bubble3D val="0"/>
            <c:spPr>
              <a:solidFill>
                <a:srgbClr val="66FF33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FC91-4CFE-AEAF-EF3C5665FC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'PE1.03_Ind06'!$G$12:$I$12</c:f>
              <c:strCache>
                <c:ptCount val="3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</c:strCache>
            </c:strRef>
          </c:cat>
          <c:val>
            <c:numRef>
              <c:f>'PE1.03_Ind06'!$G$15:$I$15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C91-4CFE-AEAF-EF3C5665FC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642390063"/>
        <c:axId val="513460655"/>
      </c:barChart>
      <c:lineChart>
        <c:grouping val="standard"/>
        <c:varyColors val="0"/>
        <c:ser>
          <c:idx val="2"/>
          <c:order val="2"/>
          <c:tx>
            <c:strRef>
              <c:f>'PE1.03_Ind06'!$B$16</c:f>
              <c:strCache>
                <c:ptCount val="1"/>
                <c:pt idx="0">
                  <c:v>Objectiu màx 25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'PE1.03_Ind06'!$D$12:$H$12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'PE1.03_Ind06'!$D$16:$H$16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C91-4CFE-AEAF-EF3C5665FC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42390063"/>
        <c:axId val="513460655"/>
      </c:lineChart>
      <c:catAx>
        <c:axId val="642390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13460655"/>
        <c:crosses val="autoZero"/>
        <c:auto val="1"/>
        <c:lblAlgn val="ctr"/>
        <c:lblOffset val="100"/>
        <c:noMultiLvlLbl val="0"/>
      </c:catAx>
      <c:valAx>
        <c:axId val="513460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423900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9254651409461275E-2"/>
          <c:y val="0.31036188168786594"/>
          <c:w val="0.14477607097844941"/>
          <c:h val="0.180731244222745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a-ES" sz="1200"/>
              <a:t>PE1.02_Ind01. Percentatge de processos modificats en cada revisió</a:t>
            </a:r>
          </a:p>
        </c:rich>
      </c:tx>
      <c:layout>
        <c:manualLayout>
          <c:xMode val="edge"/>
          <c:yMode val="edge"/>
          <c:x val="0.1329583088960155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7.430577427821522E-2"/>
          <c:y val="3.7037037037037035E-2"/>
          <c:w val="0.89513867016622917"/>
          <c:h val="0.847314814814814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'PE1.03_Ind07'!$C$12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'PE1.03_Ind07'!$G$12:$I$12</c:f>
              <c:strCache>
                <c:ptCount val="3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</c:strCache>
            </c:strRef>
          </c:cat>
          <c:val>
            <c:numRef>
              <c:f>'PE1.03_Ind07'!$D$12:$H$12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FDE-AE51-86B3FEDAEEB5}"/>
            </c:ext>
          </c:extLst>
        </c:ser>
        <c:ser>
          <c:idx val="1"/>
          <c:order val="1"/>
          <c:tx>
            <c:strRef>
              <c:f>'PE1.03_Ind07'!$B$15</c:f>
              <c:strCache>
                <c:ptCount val="1"/>
                <c:pt idx="0">
                  <c:v>% titulacions presentades per ser verificades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66FF33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A65-4FDE-AE51-86B3FEDAEEB5}"/>
              </c:ext>
            </c:extLst>
          </c:dPt>
          <c:dPt>
            <c:idx val="1"/>
            <c:invertIfNegative val="0"/>
            <c:bubble3D val="0"/>
            <c:spPr>
              <a:solidFill>
                <a:srgbClr val="66FF33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CA65-4FDE-AE51-86B3FEDAEEB5}"/>
              </c:ext>
            </c:extLst>
          </c:dPt>
          <c:dPt>
            <c:idx val="2"/>
            <c:invertIfNegative val="0"/>
            <c:bubble3D val="0"/>
            <c:spPr>
              <a:solidFill>
                <a:srgbClr val="66FF33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CA65-4FDE-AE51-86B3FEDAEEB5}"/>
              </c:ext>
            </c:extLst>
          </c:dPt>
          <c:dPt>
            <c:idx val="3"/>
            <c:invertIfNegative val="0"/>
            <c:bubble3D val="0"/>
            <c:spPr>
              <a:solidFill>
                <a:srgbClr val="66FF33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CA65-4FDE-AE51-86B3FEDAEEB5}"/>
              </c:ext>
            </c:extLst>
          </c:dPt>
          <c:dPt>
            <c:idx val="4"/>
            <c:invertIfNegative val="0"/>
            <c:bubble3D val="0"/>
            <c:spPr>
              <a:solidFill>
                <a:srgbClr val="66FF33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CA65-4FDE-AE51-86B3FEDAEE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'PE1.03_Ind07'!$G$12:$I$12</c:f>
              <c:strCache>
                <c:ptCount val="3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</c:strCache>
            </c:strRef>
          </c:cat>
          <c:val>
            <c:numRef>
              <c:f>'PE1.03_Ind07'!$G$15:$I$15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A65-4FDE-AE51-86B3FEDAEE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642390063"/>
        <c:axId val="513460655"/>
      </c:barChart>
      <c:lineChart>
        <c:grouping val="standard"/>
        <c:varyColors val="0"/>
        <c:ser>
          <c:idx val="2"/>
          <c:order val="2"/>
          <c:tx>
            <c:strRef>
              <c:f>'PE1.03_Ind07'!$B$16</c:f>
              <c:strCache>
                <c:ptCount val="1"/>
                <c:pt idx="0">
                  <c:v>Objectiu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'PE1.03_Ind07'!$D$12:$H$12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'PE1.03_Ind07'!$D$16:$H$16</c:f>
              <c:numCache>
                <c:formatCode>0%</c:formatCode>
                <c:ptCount val="5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65-4FDE-AE51-86B3FEDAEE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42390063"/>
        <c:axId val="513460655"/>
      </c:lineChart>
      <c:catAx>
        <c:axId val="642390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13460655"/>
        <c:crosses val="autoZero"/>
        <c:auto val="1"/>
        <c:lblAlgn val="ctr"/>
        <c:lblOffset val="100"/>
        <c:noMultiLvlLbl val="0"/>
      </c:catAx>
      <c:valAx>
        <c:axId val="513460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423900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9254651409461275E-2"/>
          <c:y val="0.31036188168786594"/>
          <c:w val="0.14477607097844941"/>
          <c:h val="0.180731244222745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a-ES"/>
              <a:t>PC2.01-Ind03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2F929A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'PC2.01_Ind01'!$D$12:$H$12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'PC2.01_Ind01'!$D$31:$H$31</c:f>
              <c:numCache>
                <c:formatCode>0%</c:formatCode>
                <c:ptCount val="5"/>
                <c:pt idx="0" formatCode="0.00%">
                  <c:v>0.8571428571428571</c:v>
                </c:pt>
                <c:pt idx="1">
                  <c:v>0.6</c:v>
                </c:pt>
                <c:pt idx="2" formatCode="0.00%">
                  <c:v>0.73333333333333328</c:v>
                </c:pt>
                <c:pt idx="3">
                  <c:v>0.6</c:v>
                </c:pt>
                <c:pt idx="4" formatCode="0.00%">
                  <c:v>0.8571428571428571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14:spPr>
              </c14:invertSolidFillFmt>
            </c:ext>
            <c:ext xmlns:c16="http://schemas.microsoft.com/office/drawing/2014/chart" uri="{C3380CC4-5D6E-409C-BE32-E72D297353CC}">
              <c16:uniqueId val="{00000000-1DEF-4F48-8C23-7C46D39BB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1423127"/>
        <c:axId val="517237689"/>
      </c:barChart>
      <c:lineChart>
        <c:grouping val="standard"/>
        <c:varyColors val="1"/>
        <c:ser>
          <c:idx val="1"/>
          <c:order val="1"/>
          <c:tx>
            <c:strRef>
              <c:f>'PC2.01_Ind01'!$B$30</c:f>
              <c:strCache>
                <c:ptCount val="1"/>
                <c:pt idx="0">
                  <c:v>Valor objectiu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0"/>
              <c:layout>
                <c:manualLayout>
                  <c:x val="2.9563932002956393E-3"/>
                  <c:y val="-9.8245614035087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31-4045-A531-E487CCA26397}"/>
                </c:ext>
              </c:extLst>
            </c:dLbl>
            <c:dLbl>
              <c:idx val="1"/>
              <c:layout>
                <c:manualLayout>
                  <c:x val="1.7738359201773836E-2"/>
                  <c:y val="-0.102923976608187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31-4045-A531-E487CCA26397}"/>
                </c:ext>
              </c:extLst>
            </c:dLbl>
            <c:dLbl>
              <c:idx val="2"/>
              <c:layout>
                <c:manualLayout>
                  <c:x val="8.869179600886918E-3"/>
                  <c:y val="-8.4210526315789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31-4045-A531-E487CCA26397}"/>
                </c:ext>
              </c:extLst>
            </c:dLbl>
            <c:dLbl>
              <c:idx val="3"/>
              <c:layout>
                <c:manualLayout>
                  <c:x val="5.9127864005912786E-3"/>
                  <c:y val="-8.8888888888888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31-4045-A531-E487CCA26397}"/>
                </c:ext>
              </c:extLst>
            </c:dLbl>
            <c:dLbl>
              <c:idx val="4"/>
              <c:layout>
                <c:manualLayout>
                  <c:x val="0"/>
                  <c:y val="-9.3567251461988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31-4045-A531-E487CCA263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'PC2.01_Ind01'!$D$30:$H$30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31-4045-A531-E487CCA26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423127"/>
        <c:axId val="517237689"/>
      </c:lineChart>
      <c:catAx>
        <c:axId val="11514231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17237689"/>
        <c:crosses val="autoZero"/>
        <c:auto val="1"/>
        <c:lblAlgn val="ctr"/>
        <c:lblOffset val="100"/>
        <c:noMultiLvlLbl val="1"/>
      </c:catAx>
      <c:valAx>
        <c:axId val="51723768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151423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1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a-ES" sz="1200" b="1">
                <a:effectLst/>
              </a:rPr>
              <a:t>PC2.01_Ind02. Percentatge d’hores de docència impartides per PDI amb títol de doctor</a:t>
            </a:r>
            <a:r>
              <a:rPr lang="ca-ES" sz="1800" b="1">
                <a:effectLst/>
              </a:rPr>
              <a:t>.</a:t>
            </a:r>
            <a:endParaRPr lang="ca-ES" sz="18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'PC2.01_Ind02'!$C$12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'PC2.01_Ind02'!$D$12:$H$12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'PC2.01_Ind02'!$D$12:$H$12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F0-48B1-8397-AD52514F4731}"/>
            </c:ext>
          </c:extLst>
        </c:ser>
        <c:ser>
          <c:idx val="1"/>
          <c:order val="1"/>
          <c:tx>
            <c:strRef>
              <c:f>'PC2.01_Ind02'!$B$13</c:f>
              <c:strCache>
                <c:ptCount val="1"/>
                <c:pt idx="0">
                  <c:v>Ciències Ambientals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'PC2.01_Ind02'!$D$12:$H$12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'PC2.01_Ind02'!$D$13:$H$13</c:f>
              <c:numCache>
                <c:formatCode>0%</c:formatCode>
                <c:ptCount val="5"/>
                <c:pt idx="0" formatCode="0.00%">
                  <c:v>0.86799999999999999</c:v>
                </c:pt>
                <c:pt idx="1">
                  <c:v>0.79</c:v>
                </c:pt>
                <c:pt idx="2">
                  <c:v>0.78</c:v>
                </c:pt>
                <c:pt idx="3">
                  <c:v>0.76</c:v>
                </c:pt>
                <c:pt idx="4" formatCode="0.00%">
                  <c:v>0.751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F0-48B1-8397-AD52514F4731}"/>
            </c:ext>
          </c:extLst>
        </c:ser>
        <c:ser>
          <c:idx val="2"/>
          <c:order val="2"/>
          <c:tx>
            <c:strRef>
              <c:f>'PC2.01_Ind02'!$B$14</c:f>
              <c:strCache>
                <c:ptCount val="1"/>
                <c:pt idx="0">
                  <c:v>Estadística Aplicada  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'PC2.01_Ind02'!$D$12:$H$12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'PC2.01_Ind02'!$D$14:$H$14</c:f>
              <c:numCache>
                <c:formatCode>0%</c:formatCode>
                <c:ptCount val="5"/>
                <c:pt idx="0">
                  <c:v>0.68</c:v>
                </c:pt>
                <c:pt idx="1">
                  <c:v>0.71</c:v>
                </c:pt>
                <c:pt idx="2">
                  <c:v>0.7</c:v>
                </c:pt>
                <c:pt idx="3">
                  <c:v>0.7</c:v>
                </c:pt>
                <c:pt idx="4" formatCode="0.00%">
                  <c:v>0.72189999999999999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F0-48B1-8397-AD52514F4731}"/>
            </c:ext>
          </c:extLst>
        </c:ser>
        <c:ser>
          <c:idx val="3"/>
          <c:order val="3"/>
          <c:tx>
            <c:strRef>
              <c:f>'PC2.01_Ind02'!$B$15</c:f>
              <c:strCache>
                <c:ptCount val="1"/>
                <c:pt idx="0">
                  <c:v>Geologia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'PC2.01_Ind02'!$D$12:$H$12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'PC2.01_Ind02'!$D$15:$H$15</c:f>
              <c:numCache>
                <c:formatCode>0%</c:formatCode>
                <c:ptCount val="5"/>
                <c:pt idx="0">
                  <c:v>0.85</c:v>
                </c:pt>
                <c:pt idx="1">
                  <c:v>0.86</c:v>
                </c:pt>
                <c:pt idx="2">
                  <c:v>0.82</c:v>
                </c:pt>
                <c:pt idx="3">
                  <c:v>0.81</c:v>
                </c:pt>
                <c:pt idx="4" formatCode="0.00%">
                  <c:v>0.78359999999999996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F0-48B1-8397-AD52514F4731}"/>
            </c:ext>
          </c:extLst>
        </c:ser>
        <c:ser>
          <c:idx val="4"/>
          <c:order val="4"/>
          <c:tx>
            <c:strRef>
              <c:f>'PC2.01_Ind02'!$B$16</c:f>
              <c:strCache>
                <c:ptCount val="1"/>
                <c:pt idx="0">
                  <c:v>Física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'PC2.01_Ind02'!$D$12:$H$12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'PC2.01_Ind02'!$D$16:$H$16</c:f>
              <c:numCache>
                <c:formatCode>0.00%</c:formatCode>
                <c:ptCount val="5"/>
                <c:pt idx="0" formatCode="0%">
                  <c:v>0.9</c:v>
                </c:pt>
                <c:pt idx="1">
                  <c:v>0.90400000000000003</c:v>
                </c:pt>
                <c:pt idx="2" formatCode="General">
                  <c:v>0</c:v>
                </c:pt>
                <c:pt idx="3" formatCode="0%">
                  <c:v>0.87</c:v>
                </c:pt>
                <c:pt idx="4">
                  <c:v>0.89190000000000003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F0-48B1-8397-AD52514F4731}"/>
            </c:ext>
          </c:extLst>
        </c:ser>
        <c:ser>
          <c:idx val="5"/>
          <c:order val="5"/>
          <c:tx>
            <c:strRef>
              <c:f>'PC2.01_Ind02'!$B$17</c:f>
              <c:strCache>
                <c:ptCount val="1"/>
                <c:pt idx="0">
                  <c:v>Matemàtiques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'PC2.01_Ind02'!$D$12:$H$12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'PC2.01_Ind02'!$D$17:$H$17</c:f>
              <c:numCache>
                <c:formatCode>0%</c:formatCode>
                <c:ptCount val="5"/>
                <c:pt idx="0">
                  <c:v>0.88</c:v>
                </c:pt>
                <c:pt idx="1">
                  <c:v>0.94</c:v>
                </c:pt>
                <c:pt idx="2">
                  <c:v>0.94</c:v>
                </c:pt>
                <c:pt idx="3">
                  <c:v>0.95</c:v>
                </c:pt>
                <c:pt idx="4" formatCode="0.00%">
                  <c:v>0.93440000000000001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F0-48B1-8397-AD52514F4731}"/>
            </c:ext>
          </c:extLst>
        </c:ser>
        <c:ser>
          <c:idx val="6"/>
          <c:order val="6"/>
          <c:tx>
            <c:strRef>
              <c:f>'PC2.01_Ind02'!$B$18</c:f>
              <c:strCache>
                <c:ptCount val="1"/>
                <c:pt idx="0">
                  <c:v>Química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'PC2.01_Ind02'!$D$12:$H$12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'PC2.01_Ind02'!$D$18:$H$18</c:f>
              <c:numCache>
                <c:formatCode>0%</c:formatCode>
                <c:ptCount val="5"/>
                <c:pt idx="0">
                  <c:v>0.83</c:v>
                </c:pt>
                <c:pt idx="1">
                  <c:v>0.83</c:v>
                </c:pt>
                <c:pt idx="2">
                  <c:v>0.86</c:v>
                </c:pt>
                <c:pt idx="3">
                  <c:v>0.81</c:v>
                </c:pt>
                <c:pt idx="4" formatCode="0.00%">
                  <c:v>0.78129999999999999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F0-48B1-8397-AD52514F4731}"/>
            </c:ext>
          </c:extLst>
        </c:ser>
        <c:ser>
          <c:idx val="7"/>
          <c:order val="7"/>
          <c:tx>
            <c:strRef>
              <c:f>'PC2.01_Ind02'!$B$19</c:f>
              <c:strCache>
                <c:ptCount val="1"/>
                <c:pt idx="0">
                  <c:v>Matemàtiques Computacional de Dades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'PC2.01_Ind02'!$D$12:$H$12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'PC2.01_Ind02'!$D$19:$H$19</c:f>
              <c:numCache>
                <c:formatCode>0%</c:formatCode>
                <c:ptCount val="5"/>
                <c:pt idx="0" formatCode="General">
                  <c:v>0</c:v>
                </c:pt>
                <c:pt idx="1">
                  <c:v>1</c:v>
                </c:pt>
                <c:pt idx="2">
                  <c:v>0.94</c:v>
                </c:pt>
                <c:pt idx="3">
                  <c:v>0.88</c:v>
                </c:pt>
                <c:pt idx="4" formatCode="0.00%">
                  <c:v>0.84130000000000005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7F0-48B1-8397-AD52514F4731}"/>
            </c:ext>
          </c:extLst>
        </c:ser>
        <c:ser>
          <c:idx val="8"/>
          <c:order val="8"/>
          <c:tx>
            <c:strRef>
              <c:f>'PC2.01_Ind02'!$B$20</c:f>
              <c:strCache>
                <c:ptCount val="1"/>
                <c:pt idx="0">
                  <c:v>Nanociència i Nanotecnologia  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'PC2.01_Ind02'!$D$12:$H$12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'PC2.01_Ind02'!$D$20:$H$20</c:f>
              <c:numCache>
                <c:formatCode>0%</c:formatCode>
                <c:ptCount val="5"/>
                <c:pt idx="0">
                  <c:v>0.83</c:v>
                </c:pt>
                <c:pt idx="1">
                  <c:v>0.81</c:v>
                </c:pt>
                <c:pt idx="2">
                  <c:v>0.86</c:v>
                </c:pt>
                <c:pt idx="3">
                  <c:v>0.84</c:v>
                </c:pt>
                <c:pt idx="4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F0-48B1-8397-AD52514F4731}"/>
            </c:ext>
          </c:extLst>
        </c:ser>
        <c:ser>
          <c:idx val="9"/>
          <c:order val="9"/>
          <c:tx>
            <c:strRef>
              <c:f>'PC2.01_Ind02'!$B$21</c:f>
              <c:strCache>
                <c:ptCount val="1"/>
                <c:pt idx="0">
                  <c:v>CCAA+Geologia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'PC2.01_Ind02'!$D$12:$H$12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'PC2.01_Ind02'!$D$21:$H$21</c:f>
              <c:numCache>
                <c:formatCode>0%</c:formatCode>
                <c:ptCount val="5"/>
                <c:pt idx="0">
                  <c:v>0.86</c:v>
                </c:pt>
                <c:pt idx="1">
                  <c:v>0.82</c:v>
                </c:pt>
                <c:pt idx="2">
                  <c:v>0.79</c:v>
                </c:pt>
                <c:pt idx="3">
                  <c:v>0.75</c:v>
                </c:pt>
                <c:pt idx="4" formatCode="0.00%">
                  <c:v>0.75890000000000002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7F0-48B1-8397-AD52514F4731}"/>
            </c:ext>
          </c:extLst>
        </c:ser>
        <c:ser>
          <c:idx val="10"/>
          <c:order val="10"/>
          <c:tx>
            <c:strRef>
              <c:f>'PC2.01_Ind02'!$B$22</c:f>
              <c:strCache>
                <c:ptCount val="1"/>
                <c:pt idx="0">
                  <c:v>Física+Matemàtiques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'PC2.01_Ind02'!$D$12:$H$12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'PC2.01_Ind02'!$D$22:$H$22</c:f>
              <c:numCache>
                <c:formatCode>0%</c:formatCode>
                <c:ptCount val="5"/>
                <c:pt idx="0">
                  <c:v>0.96</c:v>
                </c:pt>
                <c:pt idx="1">
                  <c:v>0.94</c:v>
                </c:pt>
                <c:pt idx="2">
                  <c:v>0.94</c:v>
                </c:pt>
                <c:pt idx="3">
                  <c:v>0.93</c:v>
                </c:pt>
                <c:pt idx="4" formatCode="0.00%">
                  <c:v>0.93269999999999997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7F0-48B1-8397-AD52514F4731}"/>
            </c:ext>
          </c:extLst>
        </c:ser>
        <c:ser>
          <c:idx val="11"/>
          <c:order val="11"/>
          <c:tx>
            <c:strRef>
              <c:f>'PC2.01_Ind02'!$B$23</c:f>
              <c:strCache>
                <c:ptCount val="1"/>
                <c:pt idx="0">
                  <c:v>Física +Química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'PC2.01_Ind02'!$D$12:$H$12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'PC2.01_Ind02'!$D$23:$H$23</c:f>
              <c:numCache>
                <c:formatCode>0%</c:formatCode>
                <c:ptCount val="5"/>
                <c:pt idx="0">
                  <c:v>0.85</c:v>
                </c:pt>
                <c:pt idx="1">
                  <c:v>0.87</c:v>
                </c:pt>
                <c:pt idx="2">
                  <c:v>0.9</c:v>
                </c:pt>
                <c:pt idx="3">
                  <c:v>0.96</c:v>
                </c:pt>
                <c:pt idx="4" formatCode="0.00%">
                  <c:v>0.80759999999999998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7F0-48B1-8397-AD52514F4731}"/>
            </c:ext>
          </c:extLst>
        </c:ser>
        <c:ser>
          <c:idx val="12"/>
          <c:order val="12"/>
          <c:tx>
            <c:strRef>
              <c:f>'PC2.01_Ind02'!$B$24</c:f>
              <c:strCache>
                <c:ptCount val="1"/>
                <c:pt idx="0">
                  <c:v>Estudis inter. en sostenibilitat ambiental, econòmica i social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'PC2.01_Ind02'!$D$12:$H$12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'PC2.01_Ind02'!$D$24:$H$24</c:f>
              <c:numCache>
                <c:formatCode>0%</c:formatCode>
                <c:ptCount val="5"/>
                <c:pt idx="0" formatCode="0.00%">
                  <c:v>0.91500000000000004</c:v>
                </c:pt>
                <c:pt idx="1">
                  <c:v>0.88</c:v>
                </c:pt>
                <c:pt idx="2">
                  <c:v>0.9</c:v>
                </c:pt>
                <c:pt idx="3" formatCode="0.00%">
                  <c:v>0.89800000000000002</c:v>
                </c:pt>
                <c:pt idx="4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7F0-48B1-8397-AD52514F4731}"/>
            </c:ext>
          </c:extLst>
        </c:ser>
        <c:ser>
          <c:idx val="13"/>
          <c:order val="13"/>
          <c:tx>
            <c:strRef>
              <c:f>'PC2.01_Ind02'!$B$25</c:f>
              <c:strCache>
                <c:ptCount val="1"/>
                <c:pt idx="0">
                  <c:v>Física d'Altes Energies, Astrofísica i Cosmologia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'PC2.01_Ind02'!$D$12:$H$12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'PC2.01_Ind02'!$D$25:$H$25</c:f>
              <c:numCache>
                <c:formatCode>0.00%</c:formatCode>
                <c:ptCount val="5"/>
                <c:pt idx="0">
                  <c:v>0.995</c:v>
                </c:pt>
                <c:pt idx="1">
                  <c:v>0.86199999999999999</c:v>
                </c:pt>
                <c:pt idx="2">
                  <c:v>0.88400000000000001</c:v>
                </c:pt>
                <c:pt idx="3">
                  <c:v>0.89500000000000002</c:v>
                </c:pt>
                <c:pt idx="4">
                  <c:v>0.99950000000000006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7F0-48B1-8397-AD52514F4731}"/>
            </c:ext>
          </c:extLst>
        </c:ser>
        <c:ser>
          <c:idx val="14"/>
          <c:order val="14"/>
          <c:tx>
            <c:strRef>
              <c:f>'PC2.01_Ind02'!$B$26</c:f>
              <c:strCache>
                <c:ptCount val="1"/>
                <c:pt idx="0">
                  <c:v>Història de la Ciència: ciència, història i societat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'PC2.01_Ind02'!$D$12:$H$12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'PC2.01_Ind02'!$D$26:$H$26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 formatCode="0.00%">
                  <c:v>0.98599999999999999</c:v>
                </c:pt>
                <c:pt idx="4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7F0-48B1-8397-AD52514F4731}"/>
            </c:ext>
          </c:extLst>
        </c:ser>
        <c:ser>
          <c:idx val="15"/>
          <c:order val="15"/>
          <c:tx>
            <c:strRef>
              <c:f>'PC2.01_Ind02'!$B$27</c:f>
              <c:strCache>
                <c:ptCount val="1"/>
                <c:pt idx="0">
                  <c:v>Modelització per a la ciència i l'enginyeria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'PC2.01_Ind02'!$D$12:$H$12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'PC2.01_Ind02'!$D$27:$H$27</c:f>
              <c:numCache>
                <c:formatCode>0%</c:formatCode>
                <c:ptCount val="5"/>
                <c:pt idx="0" formatCode="0.00%">
                  <c:v>0.96599999999999997</c:v>
                </c:pt>
                <c:pt idx="1">
                  <c:v>1</c:v>
                </c:pt>
                <c:pt idx="2" formatCode="0.00%">
                  <c:v>0.95599999999999996</c:v>
                </c:pt>
                <c:pt idx="3" formatCode="0.00%">
                  <c:v>0.97699999999999998</c:v>
                </c:pt>
                <c:pt idx="4" formatCode="0.00%">
                  <c:v>0.97499999999999998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7F0-48B1-8397-AD52514F4731}"/>
            </c:ext>
          </c:extLst>
        </c:ser>
        <c:ser>
          <c:idx val="16"/>
          <c:order val="16"/>
          <c:tx>
            <c:strRef>
              <c:f>'PC2.01_Ind02'!$B$28</c:f>
              <c:strCache>
                <c:ptCount val="1"/>
                <c:pt idx="0">
                  <c:v>Nanociència i Nanotecnologia avançades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'PC2.01_Ind02'!$D$12:$H$12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'PC2.01_Ind02'!$D$28:$H$28</c:f>
              <c:numCache>
                <c:formatCode>0.00%</c:formatCode>
                <c:ptCount val="5"/>
                <c:pt idx="0">
                  <c:v>0.96299999999999997</c:v>
                </c:pt>
                <c:pt idx="1">
                  <c:v>0.93100000000000005</c:v>
                </c:pt>
                <c:pt idx="2" formatCode="0%">
                  <c:v>0.97</c:v>
                </c:pt>
                <c:pt idx="3" formatCode="0%">
                  <c:v>0.91</c:v>
                </c:pt>
                <c:pt idx="4">
                  <c:v>0.91679999999999995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7F0-48B1-8397-AD52514F4731}"/>
            </c:ext>
          </c:extLst>
        </c:ser>
        <c:ser>
          <c:idx val="17"/>
          <c:order val="17"/>
          <c:tx>
            <c:strRef>
              <c:f>'PC2.01_Ind02'!$B$29</c:f>
              <c:strCache>
                <c:ptCount val="1"/>
                <c:pt idx="0">
                  <c:v>Química industrial i introducció a la recerca química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'PC2.01_Ind02'!$D$12:$H$12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'PC2.01_Ind02'!$D$29:$H$29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 formatCode="0.00%">
                  <c:v>0.996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7F0-48B1-8397-AD52514F4731}"/>
            </c:ext>
          </c:extLst>
        </c:ser>
        <c:ser>
          <c:idx val="18"/>
          <c:order val="18"/>
          <c:tx>
            <c:strRef>
              <c:f>'PC2.01_Ind02'!$B$30</c:f>
              <c:strCache>
                <c:ptCount val="1"/>
                <c:pt idx="0">
                  <c:v>Paleobiologia i Registre Fòssil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'PC2.01_Ind02'!$D$12:$H$12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'PC2.01_Ind02'!$D$30:$H$30</c:f>
              <c:numCache>
                <c:formatCode>0.00%</c:formatCode>
                <c:ptCount val="5"/>
                <c:pt idx="0">
                  <c:v>0.94199999999999995</c:v>
                </c:pt>
                <c:pt idx="1">
                  <c:v>0.94399999999999995</c:v>
                </c:pt>
                <c:pt idx="2">
                  <c:v>0.92400000000000004</c:v>
                </c:pt>
                <c:pt idx="3">
                  <c:v>0.95499999999999996</c:v>
                </c:pt>
                <c:pt idx="4" formatCode="0%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7F0-48B1-8397-AD52514F4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79863264"/>
        <c:axId val="866636144"/>
      </c:barChart>
      <c:lineChart>
        <c:grouping val="standard"/>
        <c:varyColors val="0"/>
        <c:ser>
          <c:idx val="19"/>
          <c:order val="19"/>
          <c:tx>
            <c:strRef>
              <c:f>'PC2.01_Ind02'!$B$33:$C$33</c:f>
              <c:strCache>
                <c:ptCount val="2"/>
                <c:pt idx="0">
                  <c:v>Valor objectiu</c:v>
                </c:pt>
              </c:strCache>
            </c:strRef>
          </c:tx>
          <c:spPr>
            <a:ln w="34925" cap="rnd">
              <a:solidFill>
                <a:schemeClr val="accent2">
                  <a:lumMod val="8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>
                    <a:lumMod val="8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val>
            <c:numRef>
              <c:f>'PC2.01_Ind02'!$D$33:$H$33</c:f>
              <c:numCache>
                <c:formatCode>0%</c:formatCode>
                <c:ptCount val="5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7F0-48B1-8397-AD52514F4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863264"/>
        <c:axId val="866636144"/>
      </c:lineChart>
      <c:catAx>
        <c:axId val="57986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66636144"/>
        <c:crosses val="autoZero"/>
        <c:auto val="1"/>
        <c:lblAlgn val="ctr"/>
        <c:lblOffset val="100"/>
        <c:noMultiLvlLbl val="0"/>
      </c:catAx>
      <c:valAx>
        <c:axId val="86663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7986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a-ES" sz="1200" b="1">
                <a:effectLst/>
              </a:rPr>
              <a:t>PC2.01_Ind03. Valoració mitjana a l’afirmació “Fins ara s’ha seguit la programació de l’assignatura que s’explica a la guia docent dels Graus</a:t>
            </a:r>
            <a:r>
              <a:rPr lang="ca-ES" sz="1800" b="1">
                <a:effectLst/>
              </a:rPr>
              <a:t>”</a:t>
            </a:r>
            <a:endParaRPr lang="ca-ES" sz="18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'PC2.01_Ind03'!$B$26</c:f>
              <c:strCache>
                <c:ptCount val="1"/>
                <c:pt idx="0">
                  <c:v>9. Gràfic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'PC2.01_Ind03'!$D$12:$H$12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'PC2.01_Ind03'!$C$26:$E$26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270A-4C70-B56E-1CD4E428EF13}"/>
            </c:ext>
          </c:extLst>
        </c:ser>
        <c:ser>
          <c:idx val="1"/>
          <c:order val="1"/>
          <c:tx>
            <c:strRef>
              <c:f>'PC2.01_Ind03'!$B$13</c:f>
              <c:strCache>
                <c:ptCount val="1"/>
                <c:pt idx="0">
                  <c:v>Ciències Ambientals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'PC2.01_Ind03'!$D$12:$H$12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'PC2.01_Ind03'!$D$13:$H$13</c:f>
              <c:numCache>
                <c:formatCode>General</c:formatCode>
                <c:ptCount val="5"/>
                <c:pt idx="0" formatCode="0.00">
                  <c:v>3.28</c:v>
                </c:pt>
                <c:pt idx="1">
                  <c:v>3.42</c:v>
                </c:pt>
                <c:pt idx="2" formatCode="0.00">
                  <c:v>3.2450000000000001</c:v>
                </c:pt>
                <c:pt idx="3">
                  <c:v>3.42</c:v>
                </c:pt>
                <c:pt idx="4">
                  <c:v>3.36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0A-4C70-B56E-1CD4E428EF13}"/>
            </c:ext>
          </c:extLst>
        </c:ser>
        <c:ser>
          <c:idx val="2"/>
          <c:order val="2"/>
          <c:tx>
            <c:strRef>
              <c:f>'PC2.01_Ind03'!$B$14</c:f>
              <c:strCache>
                <c:ptCount val="1"/>
                <c:pt idx="0">
                  <c:v>Estadística Aplicada  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'PC2.01_Ind03'!$D$12:$H$12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'PC2.01_Ind03'!$D$14:$H$14</c:f>
              <c:numCache>
                <c:formatCode>General</c:formatCode>
                <c:ptCount val="5"/>
                <c:pt idx="0" formatCode="0.00">
                  <c:v>3.24</c:v>
                </c:pt>
                <c:pt idx="1">
                  <c:v>3.32</c:v>
                </c:pt>
                <c:pt idx="2" formatCode="0.00">
                  <c:v>3.16</c:v>
                </c:pt>
                <c:pt idx="3">
                  <c:v>3.36</c:v>
                </c:pt>
                <c:pt idx="4">
                  <c:v>3.45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0A-4C70-B56E-1CD4E428EF13}"/>
            </c:ext>
          </c:extLst>
        </c:ser>
        <c:ser>
          <c:idx val="3"/>
          <c:order val="3"/>
          <c:tx>
            <c:strRef>
              <c:f>'PC2.01_Ind03'!$B$15</c:f>
              <c:strCache>
                <c:ptCount val="1"/>
                <c:pt idx="0">
                  <c:v>Geologia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'PC2.01_Ind03'!$D$12:$H$12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'PC2.01_Ind03'!$D$15:$H$15</c:f>
              <c:numCache>
                <c:formatCode>General</c:formatCode>
                <c:ptCount val="5"/>
                <c:pt idx="0" formatCode="0.00">
                  <c:v>3.1749999999999998</c:v>
                </c:pt>
                <c:pt idx="1">
                  <c:v>3.16</c:v>
                </c:pt>
                <c:pt idx="2" formatCode="0.00">
                  <c:v>3.1799999999999997</c:v>
                </c:pt>
                <c:pt idx="3">
                  <c:v>3.03</c:v>
                </c:pt>
                <c:pt idx="4">
                  <c:v>3.36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0A-4C70-B56E-1CD4E428EF13}"/>
            </c:ext>
          </c:extLst>
        </c:ser>
        <c:ser>
          <c:idx val="4"/>
          <c:order val="4"/>
          <c:tx>
            <c:strRef>
              <c:f>'PC2.01_Ind03'!$B$16</c:f>
              <c:strCache>
                <c:ptCount val="1"/>
                <c:pt idx="0">
                  <c:v>Física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'PC2.01_Ind03'!$D$12:$H$12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'PC2.01_Ind03'!$D$16:$H$16</c:f>
              <c:numCache>
                <c:formatCode>General</c:formatCode>
                <c:ptCount val="5"/>
                <c:pt idx="0" formatCode="0.00">
                  <c:v>3.4349999999999996</c:v>
                </c:pt>
                <c:pt idx="1">
                  <c:v>3.49</c:v>
                </c:pt>
                <c:pt idx="2" formatCode="0.00">
                  <c:v>3.492</c:v>
                </c:pt>
                <c:pt idx="3">
                  <c:v>3.55</c:v>
                </c:pt>
                <c:pt idx="4">
                  <c:v>3.58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0A-4C70-B56E-1CD4E428EF13}"/>
            </c:ext>
          </c:extLst>
        </c:ser>
        <c:ser>
          <c:idx val="5"/>
          <c:order val="5"/>
          <c:tx>
            <c:strRef>
              <c:f>'PC2.01_Ind03'!$B$17</c:f>
              <c:strCache>
                <c:ptCount val="1"/>
                <c:pt idx="0">
                  <c:v>Matemàtica Computacional i Analítica de Dades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'PC2.01_Ind03'!$D$12:$H$12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'PC2.01_Ind03'!$D$17:$H$17</c:f>
              <c:numCache>
                <c:formatCode>General</c:formatCode>
                <c:ptCount val="5"/>
                <c:pt idx="0" formatCode="0.00">
                  <c:v>0</c:v>
                </c:pt>
                <c:pt idx="1">
                  <c:v>3.65</c:v>
                </c:pt>
                <c:pt idx="2" formatCode="0.00">
                  <c:v>3.6150000000000002</c:v>
                </c:pt>
                <c:pt idx="3">
                  <c:v>0</c:v>
                </c:pt>
                <c:pt idx="4">
                  <c:v>3.53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0A-4C70-B56E-1CD4E428EF13}"/>
            </c:ext>
          </c:extLst>
        </c:ser>
        <c:ser>
          <c:idx val="6"/>
          <c:order val="6"/>
          <c:tx>
            <c:strRef>
              <c:f>'PC2.01_Ind03'!$B$18</c:f>
              <c:strCache>
                <c:ptCount val="1"/>
                <c:pt idx="0">
                  <c:v>Matemàtiques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'PC2.01_Ind03'!$D$12:$H$12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'PC2.01_Ind03'!$D$18:$H$18</c:f>
              <c:numCache>
                <c:formatCode>General</c:formatCode>
                <c:ptCount val="5"/>
                <c:pt idx="0" formatCode="0.00">
                  <c:v>3.4449999999999998</c:v>
                </c:pt>
                <c:pt idx="1">
                  <c:v>3.51</c:v>
                </c:pt>
                <c:pt idx="2" formatCode="0.00">
                  <c:v>3.69</c:v>
                </c:pt>
                <c:pt idx="3">
                  <c:v>3.55</c:v>
                </c:pt>
                <c:pt idx="4">
                  <c:v>3.57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70A-4C70-B56E-1CD4E428EF13}"/>
            </c:ext>
          </c:extLst>
        </c:ser>
        <c:ser>
          <c:idx val="7"/>
          <c:order val="7"/>
          <c:tx>
            <c:strRef>
              <c:f>'PC2.01_Ind03'!$B$19</c:f>
              <c:strCache>
                <c:ptCount val="1"/>
                <c:pt idx="0">
                  <c:v>Química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'PC2.01_Ind03'!$D$12:$H$12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'PC2.01_Ind03'!$D$19:$H$19</c:f>
              <c:numCache>
                <c:formatCode>General</c:formatCode>
                <c:ptCount val="5"/>
                <c:pt idx="0" formatCode="0.00">
                  <c:v>3.42</c:v>
                </c:pt>
                <c:pt idx="1">
                  <c:v>3.51</c:v>
                </c:pt>
                <c:pt idx="2" formatCode="0.00">
                  <c:v>3.415</c:v>
                </c:pt>
                <c:pt idx="3">
                  <c:v>3.53</c:v>
                </c:pt>
                <c:pt idx="4">
                  <c:v>3.56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70A-4C70-B56E-1CD4E428EF13}"/>
            </c:ext>
          </c:extLst>
        </c:ser>
        <c:ser>
          <c:idx val="8"/>
          <c:order val="8"/>
          <c:tx>
            <c:strRef>
              <c:f>'PC2.01_Ind03'!$B$20</c:f>
              <c:strCache>
                <c:ptCount val="1"/>
                <c:pt idx="0">
                  <c:v>Nanociència i Nanotecnologia  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'PC2.01_Ind03'!$D$12:$H$12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'PC2.01_Ind03'!$D$20:$H$20</c:f>
              <c:numCache>
                <c:formatCode>0.00</c:formatCode>
                <c:ptCount val="5"/>
                <c:pt idx="0">
                  <c:v>3.44</c:v>
                </c:pt>
                <c:pt idx="1">
                  <c:v>3.43</c:v>
                </c:pt>
                <c:pt idx="2">
                  <c:v>3.4000000000000004</c:v>
                </c:pt>
                <c:pt idx="3">
                  <c:v>4</c:v>
                </c:pt>
                <c:pt idx="4">
                  <c:v>3.59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70A-4C70-B56E-1CD4E428E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90138800"/>
        <c:axId val="1519073792"/>
      </c:barChart>
      <c:lineChart>
        <c:grouping val="standard"/>
        <c:varyColors val="0"/>
        <c:ser>
          <c:idx val="9"/>
          <c:order val="9"/>
          <c:tx>
            <c:strRef>
              <c:f>'PC2.01_Ind03'!$B$23</c:f>
              <c:strCache>
                <c:ptCount val="1"/>
                <c:pt idx="0">
                  <c:v>Valor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4">
                    <a:lumMod val="6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'PC2.01_Ind03'!$D$23:$H$23</c:f>
              <c:strCach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strCache>
            </c:strRef>
          </c:cat>
          <c:val>
            <c:numRef>
              <c:f>'PC2.01_Ind03'!$D$23:$H$23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70A-4C70-B56E-1CD4E428E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0138800"/>
        <c:axId val="1519073792"/>
      </c:lineChart>
      <c:catAx>
        <c:axId val="139013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19073792"/>
        <c:crosses val="autoZero"/>
        <c:auto val="1"/>
        <c:lblAlgn val="ctr"/>
        <c:lblOffset val="100"/>
        <c:noMultiLvlLbl val="0"/>
      </c:catAx>
      <c:valAx>
        <c:axId val="151907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0138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a-ES" sz="1600" b="1">
                <a:effectLst/>
              </a:rPr>
              <a:t>PC2.01_Ind04. Valoració mitjana a l’afirmació “Fins ara s’ha seguit la programació de l’assignatura que s’explica a la guia docent dels Màsters”</a:t>
            </a:r>
            <a:endParaRPr lang="ca-ES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'PC2.01_Ind04'!$B$13</c:f>
              <c:strCache>
                <c:ptCount val="1"/>
                <c:pt idx="0">
                  <c:v>Estudis interdisciplinaris en sostenibilitat ambiental, econòmica i social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'PC2.01_Ind04'!$D$12:$I$12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'PC2.01_Ind04'!$D$13:$I$13</c:f>
              <c:numCache>
                <c:formatCode>General</c:formatCode>
                <c:ptCount val="6"/>
                <c:pt idx="0" formatCode="0.00">
                  <c:v>3.5449999999999999</c:v>
                </c:pt>
                <c:pt idx="1">
                  <c:v>3.3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3.89</c:v>
                </c:pt>
                <c:pt idx="5" formatCode="0.00">
                  <c:v>3.49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31-480C-B200-F0E14CB6A073}"/>
            </c:ext>
          </c:extLst>
        </c:ser>
        <c:ser>
          <c:idx val="1"/>
          <c:order val="1"/>
          <c:tx>
            <c:strRef>
              <c:f>'PC2.01_Ind04'!$B$14</c:f>
              <c:strCache>
                <c:ptCount val="1"/>
                <c:pt idx="0">
                  <c:v>Física d'Altes Energies, Astrofísica i Cosmologia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'PC2.01_Ind04'!$D$12:$I$12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'PC2.01_Ind04'!$D$14:$I$14</c:f>
              <c:numCache>
                <c:formatCode>General</c:formatCode>
                <c:ptCount val="6"/>
                <c:pt idx="0" formatCode="0.00">
                  <c:v>3.2199999999999998</c:v>
                </c:pt>
                <c:pt idx="1">
                  <c:v>3.47</c:v>
                </c:pt>
                <c:pt idx="2" formatCode="0.00">
                  <c:v>3.64</c:v>
                </c:pt>
                <c:pt idx="3" formatCode="0.00">
                  <c:v>3.64</c:v>
                </c:pt>
                <c:pt idx="4" formatCode="0.00">
                  <c:v>3.83</c:v>
                </c:pt>
                <c:pt idx="5" formatCode="0.00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31-480C-B200-F0E14CB6A073}"/>
            </c:ext>
          </c:extLst>
        </c:ser>
        <c:ser>
          <c:idx val="2"/>
          <c:order val="2"/>
          <c:tx>
            <c:strRef>
              <c:f>'PC2.01_Ind04'!$B$15</c:f>
              <c:strCache>
                <c:ptCount val="1"/>
                <c:pt idx="0">
                  <c:v>Història de la Ciència: ciència, història i societat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'PC2.01_Ind04'!$D$12:$I$12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'PC2.01_Ind04'!$D$15:$I$15</c:f>
              <c:numCache>
                <c:formatCode>General</c:formatCode>
                <c:ptCount val="6"/>
                <c:pt idx="0" formatCode="0.00">
                  <c:v>4</c:v>
                </c:pt>
                <c:pt idx="1">
                  <c:v>3.61</c:v>
                </c:pt>
                <c:pt idx="2" formatCode="0.00">
                  <c:v>3.76</c:v>
                </c:pt>
                <c:pt idx="3" formatCode="0.00">
                  <c:v>3.875</c:v>
                </c:pt>
                <c:pt idx="4" formatCode="0.00">
                  <c:v>3.72</c:v>
                </c:pt>
                <c:pt idx="5" formatCode="0.00">
                  <c:v>3.72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31-480C-B200-F0E14CB6A073}"/>
            </c:ext>
          </c:extLst>
        </c:ser>
        <c:ser>
          <c:idx val="3"/>
          <c:order val="3"/>
          <c:tx>
            <c:strRef>
              <c:f>'PC2.01_Ind04'!$B$17</c:f>
              <c:strCache>
                <c:ptCount val="1"/>
                <c:pt idx="0">
                  <c:v>Nanociència i Nanotecnologia avançades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'PC2.01_Ind04'!$D$12:$I$12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'PC2.01_Ind04'!$D$17:$I$17</c:f>
              <c:numCache>
                <c:formatCode>General</c:formatCode>
                <c:ptCount val="6"/>
                <c:pt idx="0" formatCode="0.00">
                  <c:v>0</c:v>
                </c:pt>
                <c:pt idx="1">
                  <c:v>3.5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3.05</c:v>
                </c:pt>
                <c:pt idx="5" formatCode="0.00">
                  <c:v>3.46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31-480C-B200-F0E14CB6A073}"/>
            </c:ext>
          </c:extLst>
        </c:ser>
        <c:ser>
          <c:idx val="4"/>
          <c:order val="4"/>
          <c:tx>
            <c:strRef>
              <c:f>'PC2.01_Ind04'!$B$18</c:f>
              <c:strCache>
                <c:ptCount val="1"/>
                <c:pt idx="0">
                  <c:v>Química industrial i introducció a la recerca química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'PC2.01_Ind04'!$D$12:$I$12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'PC2.01_Ind04'!$D$18:$I$18</c:f>
              <c:numCache>
                <c:formatCode>General</c:formatCode>
                <c:ptCount val="6"/>
                <c:pt idx="0" formatCode="0.00">
                  <c:v>0</c:v>
                </c:pt>
                <c:pt idx="1">
                  <c:v>3.38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31-480C-B200-F0E14CB6A073}"/>
            </c:ext>
          </c:extLst>
        </c:ser>
        <c:ser>
          <c:idx val="5"/>
          <c:order val="5"/>
          <c:tx>
            <c:strRef>
              <c:f>'PC2.01_Ind04'!$B$19</c:f>
              <c:strCache>
                <c:ptCount val="1"/>
                <c:pt idx="0">
                  <c:v>Paleobiologia i Registre Fòssil 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'PC2.01_Ind04'!$D$12:$I$12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'PC2.01_Ind04'!$D$19:$I$19</c:f>
              <c:numCache>
                <c:formatCode>General</c:formatCode>
                <c:ptCount val="6"/>
                <c:pt idx="0" formatCode="0.00">
                  <c:v>2.5</c:v>
                </c:pt>
                <c:pt idx="1">
                  <c:v>3.44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3.88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31-480C-B200-F0E14CB6A073}"/>
            </c:ext>
          </c:extLst>
        </c:ser>
        <c:ser>
          <c:idx val="7"/>
          <c:order val="7"/>
          <c:tx>
            <c:strRef>
              <c:f>'PC2.01_Ind04'!$C$12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'PC2.01_Ind04'!$D$12:$I$12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'PC2.01_Ind04'!$D$12:$H$12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531-480C-B200-F0E14CB6A073}"/>
            </c:ext>
          </c:extLst>
        </c:ser>
        <c:ser>
          <c:idx val="8"/>
          <c:order val="8"/>
          <c:tx>
            <c:strRef>
              <c:f>'PC2.01_Ind04'!$B$16</c:f>
              <c:strCache>
                <c:ptCount val="1"/>
                <c:pt idx="0">
                  <c:v>Modelització per a la ciència i l'enginyeria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'PC2.01_Ind04'!$D$12:$I$12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'PC2.01_Ind04'!$D$16:$I$16</c:f>
              <c:numCache>
                <c:formatCode>General</c:formatCode>
                <c:ptCount val="6"/>
                <c:pt idx="0" formatCode="0.00">
                  <c:v>3.21</c:v>
                </c:pt>
                <c:pt idx="1">
                  <c:v>3.52</c:v>
                </c:pt>
                <c:pt idx="2" formatCode="0.00">
                  <c:v>3.39</c:v>
                </c:pt>
                <c:pt idx="3" formatCode="0.00">
                  <c:v>2.86</c:v>
                </c:pt>
                <c:pt idx="4" formatCode="0.00">
                  <c:v>0</c:v>
                </c:pt>
                <c:pt idx="5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531-480C-B200-F0E14CB6A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71392"/>
        <c:axId val="1583835376"/>
      </c:barChart>
      <c:lineChart>
        <c:grouping val="standard"/>
        <c:varyColors val="0"/>
        <c:ser>
          <c:idx val="6"/>
          <c:order val="6"/>
          <c:tx>
            <c:strRef>
              <c:f>'PC2.01_Ind04'!$B$22</c:f>
              <c:strCache>
                <c:ptCount val="1"/>
                <c:pt idx="0">
                  <c:v>Valor objectiu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>
                    <a:lumMod val="6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'PC2.01_Ind04'!$D$12:$H$12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'PC2.01_Ind04'!$D$22:$H$22</c:f>
              <c:numCache>
                <c:formatCode>0.00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531-480C-B200-F0E14CB6A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0671392"/>
        <c:axId val="1583835376"/>
      </c:lineChart>
      <c:catAx>
        <c:axId val="152067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83835376"/>
        <c:crosses val="autoZero"/>
        <c:auto val="1"/>
        <c:lblAlgn val="ctr"/>
        <c:lblOffset val="100"/>
        <c:noMultiLvlLbl val="0"/>
      </c:catAx>
      <c:valAx>
        <c:axId val="158383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20671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a-ES"/>
              <a:t>Evolució de les assignatures en anglès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5.3472440944881891E-2"/>
          <c:y val="7.407407407407407E-2"/>
          <c:w val="0.9020831146106737"/>
          <c:h val="0.847314814814814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'PC2.01_Ind05'!$A$12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'PC2.01_Ind05'!$B$12:$F$12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'PC2.01_Ind05'!$B$12:$E$12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2E-42F9-AFB0-6934DD49898B}"/>
            </c:ext>
          </c:extLst>
        </c:ser>
        <c:ser>
          <c:idx val="1"/>
          <c:order val="1"/>
          <c:tx>
            <c:strRef>
              <c:f>'PC2.01_Ind05'!$A$13</c:f>
              <c:strCache>
                <c:ptCount val="1"/>
                <c:pt idx="0">
                  <c:v>Estudis Interdisciplinaris en Sostenibilitat Ambiental, Econòmica i Social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'PC2.01_Ind05'!$B$12:$F$12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'PC2.01_Ind05'!$B$13:$F$13</c:f>
              <c:numCache>
                <c:formatCode>General</c:formatCode>
                <c:ptCount val="5"/>
                <c:pt idx="0">
                  <c:v>14</c:v>
                </c:pt>
                <c:pt idx="1">
                  <c:v>14</c:v>
                </c:pt>
                <c:pt idx="2">
                  <c:v>16</c:v>
                </c:pt>
                <c:pt idx="3">
                  <c:v>15</c:v>
                </c:pt>
                <c:pt idx="4">
                  <c:v>16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2E-42F9-AFB0-6934DD49898B}"/>
            </c:ext>
          </c:extLst>
        </c:ser>
        <c:ser>
          <c:idx val="2"/>
          <c:order val="2"/>
          <c:tx>
            <c:strRef>
              <c:f>'PC2.01_Ind05'!$A$14</c:f>
              <c:strCache>
                <c:ptCount val="1"/>
                <c:pt idx="0">
                  <c:v>Física d’Altes Energies, Astrofísica i Cosmologia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'PC2.01_Ind05'!$B$12:$F$12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'PC2.01_Ind05'!$B$14:$F$14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14</c:v>
                </c:pt>
                <c:pt idx="3">
                  <c:v>15</c:v>
                </c:pt>
                <c:pt idx="4">
                  <c:v>15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2E-42F9-AFB0-6934DD49898B}"/>
            </c:ext>
          </c:extLst>
        </c:ser>
        <c:ser>
          <c:idx val="3"/>
          <c:order val="3"/>
          <c:tx>
            <c:strRef>
              <c:f>'PC2.01_Ind05'!$A$15</c:f>
              <c:strCache>
                <c:ptCount val="1"/>
                <c:pt idx="0">
                  <c:v>Història de la Ciència; Ciència, Història i Societat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'PC2.01_Ind05'!$B$12:$F$12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'PC2.01_Ind05'!$B$15:$E$15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C92E-42F9-AFB0-6934DD49898B}"/>
            </c:ext>
          </c:extLst>
        </c:ser>
        <c:ser>
          <c:idx val="4"/>
          <c:order val="4"/>
          <c:tx>
            <c:strRef>
              <c:f>'PC2.01_Ind05'!$A$16</c:f>
              <c:strCache>
                <c:ptCount val="1"/>
                <c:pt idx="0">
                  <c:v>Modelització per a la Ciència i la Enginyeria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'PC2.01_Ind05'!$B$12:$F$12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'PC2.01_Ind05'!$B$16:$F$16</c:f>
              <c:numCache>
                <c:formatCode>General</c:formatCode>
                <c:ptCount val="5"/>
                <c:pt idx="0">
                  <c:v>11</c:v>
                </c:pt>
                <c:pt idx="1">
                  <c:v>13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C92E-42F9-AFB0-6934DD49898B}"/>
            </c:ext>
          </c:extLst>
        </c:ser>
        <c:ser>
          <c:idx val="5"/>
          <c:order val="5"/>
          <c:tx>
            <c:strRef>
              <c:f>'PC2.01_Ind05'!$A$17</c:f>
              <c:strCache>
                <c:ptCount val="1"/>
                <c:pt idx="0">
                  <c:v>Nanociència i Nanotecnologia Avançades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'PC2.01_Ind05'!$B$12:$F$12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'PC2.01_Ind05'!$B$17:$F$17</c:f>
              <c:numCache>
                <c:formatCode>General</c:formatCode>
                <c:ptCount val="5"/>
                <c:pt idx="0">
                  <c:v>15</c:v>
                </c:pt>
                <c:pt idx="1">
                  <c:v>13</c:v>
                </c:pt>
                <c:pt idx="2">
                  <c:v>16</c:v>
                </c:pt>
                <c:pt idx="3">
                  <c:v>16</c:v>
                </c:pt>
                <c:pt idx="4">
                  <c:v>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C92E-42F9-AFB0-6934DD49898B}"/>
            </c:ext>
          </c:extLst>
        </c:ser>
        <c:ser>
          <c:idx val="6"/>
          <c:order val="6"/>
          <c:tx>
            <c:strRef>
              <c:f>'PC2.01_Ind05'!$A$18</c:f>
              <c:strCache>
                <c:ptCount val="1"/>
                <c:pt idx="0">
                  <c:v>Paleobiologia i Registre Fòssil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'PC2.01_Ind05'!$B$12:$F$12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'PC2.01_Ind05'!$B$18:$E$18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4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C92E-42F9-AFB0-6934DD49898B}"/>
            </c:ext>
          </c:extLst>
        </c:ser>
        <c:ser>
          <c:idx val="7"/>
          <c:order val="7"/>
          <c:tx>
            <c:strRef>
              <c:f>'PC2.01_Ind05'!$A$19</c:f>
              <c:strCache>
                <c:ptCount val="1"/>
                <c:pt idx="0">
                  <c:v>Química Industrial i Introducció a la Recerca Química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'PC2.01_Ind05'!$B$12:$F$12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'PC2.01_Ind05'!$B$19:$F$19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6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C92E-42F9-AFB0-6934DD498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95948207"/>
        <c:axId val="646241247"/>
        <c:extLst/>
      </c:barChart>
      <c:lineChart>
        <c:grouping val="standard"/>
        <c:varyColors val="0"/>
        <c:ser>
          <c:idx val="8"/>
          <c:order val="8"/>
          <c:tx>
            <c:strRef>
              <c:f>'PC2.01_Ind05'!$A$23</c:f>
              <c:strCache>
                <c:ptCount val="1"/>
                <c:pt idx="0">
                  <c:v>Objectiu Augmentar 5%</c:v>
                </c:pt>
              </c:strCache>
            </c:strRef>
          </c:tx>
          <c:spPr>
            <a:ln w="34925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>
                    <a:lumMod val="6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'PC2.01_Ind05'!$B$12:$E$12</c:f>
              <c:strCache>
                <c:ptCount val="4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</c:strCache>
            </c:strRef>
          </c:cat>
          <c:val>
            <c:numRef>
              <c:f>'PC2.01_Ind05'!$B$23:$E$23</c:f>
              <c:numCache>
                <c:formatCode>0%</c:formatCode>
                <c:ptCount val="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2E-42F9-AFB0-6934DD498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948207"/>
        <c:axId val="646241247"/>
      </c:lineChart>
      <c:catAx>
        <c:axId val="995948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46241247"/>
        <c:crosses val="autoZero"/>
        <c:auto val="1"/>
        <c:lblAlgn val="ctr"/>
        <c:lblOffset val="100"/>
        <c:noMultiLvlLbl val="0"/>
      </c:catAx>
      <c:valAx>
        <c:axId val="646241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995948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166662378665473"/>
          <c:y val="1.8220586748264602E-3"/>
          <c:w val="0.29107372601133064"/>
          <c:h val="0.369401161538224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a-ES" sz="1200" b="1">
                <a:effectLst/>
              </a:rPr>
              <a:t>PC2.02_Ind01.</a:t>
            </a:r>
            <a:r>
              <a:rPr lang="ca-ES" sz="1200">
                <a:effectLst/>
              </a:rPr>
              <a:t> </a:t>
            </a:r>
            <a:r>
              <a:rPr lang="ca-ES" sz="1200" b="1">
                <a:effectLst/>
              </a:rPr>
              <a:t>Grau de satisfacció dels/de les estudiants amb el TFE, segons les enquestes d’avaluació corresponents</a:t>
            </a:r>
            <a:endParaRPr lang="ca-E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'PC2.02_Ind01'!$B$12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'PC2.02_Ind01'!$D$12:$H$12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'PC2.02_Ind01'!$D$12:$H$12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0E-408E-BB8A-8532D7696CC7}"/>
            </c:ext>
          </c:extLst>
        </c:ser>
        <c:ser>
          <c:idx val="1"/>
          <c:order val="1"/>
          <c:tx>
            <c:strRef>
              <c:f>'PC2.02_Ind01'!$B$13</c:f>
              <c:strCache>
                <c:ptCount val="1"/>
                <c:pt idx="0">
                  <c:v>Valoració mitjana a l’afirmació “El treball de fi d’estudis m’ha estat útil per consolidar les competències de la titulació”
Objectiu ≥ 3 sobre 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00E-408E-BB8A-8532D7696CC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D00E-408E-BB8A-8532D7696CC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00E-408E-BB8A-8532D7696CC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D00E-408E-BB8A-8532D7696CC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D00E-408E-BB8A-8532D7696CC7}"/>
              </c:ext>
            </c:extLst>
          </c:dPt>
          <c:cat>
            <c:strRef>
              <c:f>'PC2.02_Ind01'!$D$12:$H$12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'PC2.02_Ind01'!$D$13:$H$13</c:f>
              <c:numCache>
                <c:formatCode>0.00</c:formatCode>
                <c:ptCount val="5"/>
                <c:pt idx="0">
                  <c:v>3.9</c:v>
                </c:pt>
                <c:pt idx="1">
                  <c:v>3.95</c:v>
                </c:pt>
                <c:pt idx="2">
                  <c:v>3.91</c:v>
                </c:pt>
                <c:pt idx="3">
                  <c:v>3.7</c:v>
                </c:pt>
                <c:pt idx="4" formatCode="General">
                  <c:v>4.08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0E-408E-BB8A-8532D7696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99667296"/>
        <c:axId val="1265994160"/>
      </c:barChart>
      <c:lineChart>
        <c:grouping val="standard"/>
        <c:varyColors val="0"/>
        <c:ser>
          <c:idx val="2"/>
          <c:order val="2"/>
          <c:tx>
            <c:strRef>
              <c:f>'PC2.02_Ind01'!$B$16</c:f>
              <c:strCache>
                <c:ptCount val="1"/>
                <c:pt idx="0">
                  <c:v>Valor objectiu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val>
            <c:numRef>
              <c:f>'PC2.02_Ind01'!$D$16:$H$16</c:f>
              <c:numCache>
                <c:formatCode>General</c:formatCode>
                <c:ptCount val="5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0E-408E-BB8A-8532D7696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9667296"/>
        <c:axId val="1265994160"/>
      </c:lineChart>
      <c:catAx>
        <c:axId val="149966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65994160"/>
        <c:crosses val="autoZero"/>
        <c:auto val="1"/>
        <c:lblAlgn val="ctr"/>
        <c:lblOffset val="100"/>
        <c:noMultiLvlLbl val="0"/>
      </c:catAx>
      <c:valAx>
        <c:axId val="126599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9966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a-ES" sz="900" b="1">
                <a:effectLst/>
              </a:rPr>
              <a:t>PC2.03_Ind01. Nombre mínim d’entitats col·laboradores en el marc de PE, per curs acadèmic i titulació de grau</a:t>
            </a:r>
            <a:endParaRPr lang="ca-ES" sz="9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'PC2.03_Ind01'!$C$12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'PC2.03_Ind01'!$D$12:$I$12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'PC2.03_Ind01'!$D$12:$H$12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59-48CD-A5F0-94ECB8BE4B1E}"/>
            </c:ext>
          </c:extLst>
        </c:ser>
        <c:ser>
          <c:idx val="1"/>
          <c:order val="1"/>
          <c:tx>
            <c:strRef>
              <c:f>'PC2.03_Ind01'!$B$13</c:f>
              <c:strCache>
                <c:ptCount val="1"/>
                <c:pt idx="0">
                  <c:v>Ciències Ambientals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'PC2.03_Ind01'!$D$12:$I$12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'PC2.03_Ind01'!$D$13:$I$13</c:f>
              <c:numCache>
                <c:formatCode>General</c:formatCode>
                <c:ptCount val="6"/>
                <c:pt idx="0">
                  <c:v>41</c:v>
                </c:pt>
                <c:pt idx="1">
                  <c:v>40</c:v>
                </c:pt>
                <c:pt idx="2">
                  <c:v>27</c:v>
                </c:pt>
                <c:pt idx="3">
                  <c:v>34</c:v>
                </c:pt>
                <c:pt idx="4">
                  <c:v>32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59-48CD-A5F0-94ECB8BE4B1E}"/>
            </c:ext>
          </c:extLst>
        </c:ser>
        <c:ser>
          <c:idx val="2"/>
          <c:order val="2"/>
          <c:tx>
            <c:strRef>
              <c:f>'PC2.03_Ind01'!$B$14</c:f>
              <c:strCache>
                <c:ptCount val="1"/>
                <c:pt idx="0">
                  <c:v>Estadística Aplicada  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'PC2.03_Ind01'!$D$12:$I$12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'PC2.03_Ind01'!$D$14:$I$14</c:f>
              <c:numCache>
                <c:formatCode>General</c:formatCode>
                <c:ptCount val="6"/>
                <c:pt idx="0">
                  <c:v>13</c:v>
                </c:pt>
                <c:pt idx="1">
                  <c:v>14</c:v>
                </c:pt>
                <c:pt idx="2">
                  <c:v>9</c:v>
                </c:pt>
                <c:pt idx="3">
                  <c:v>19</c:v>
                </c:pt>
                <c:pt idx="4">
                  <c:v>13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59-48CD-A5F0-94ECB8BE4B1E}"/>
            </c:ext>
          </c:extLst>
        </c:ser>
        <c:ser>
          <c:idx val="3"/>
          <c:order val="3"/>
          <c:tx>
            <c:strRef>
              <c:f>'PC2.03_Ind01'!$B$15</c:f>
              <c:strCache>
                <c:ptCount val="1"/>
                <c:pt idx="0">
                  <c:v>Física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'PC2.03_Ind01'!$D$12:$I$12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'PC2.03_Ind01'!$D$15:$I$15</c:f>
              <c:numCache>
                <c:formatCode>General</c:formatCode>
                <c:ptCount val="6"/>
                <c:pt idx="0">
                  <c:v>35</c:v>
                </c:pt>
                <c:pt idx="1">
                  <c:v>30</c:v>
                </c:pt>
                <c:pt idx="2">
                  <c:v>17</c:v>
                </c:pt>
                <c:pt idx="3">
                  <c:v>29</c:v>
                </c:pt>
                <c:pt idx="4">
                  <c:v>25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59-48CD-A5F0-94ECB8BE4B1E}"/>
            </c:ext>
          </c:extLst>
        </c:ser>
        <c:ser>
          <c:idx val="4"/>
          <c:order val="4"/>
          <c:tx>
            <c:strRef>
              <c:f>'PC2.03_Ind01'!$B$16</c:f>
              <c:strCache>
                <c:ptCount val="1"/>
                <c:pt idx="0">
                  <c:v>Geologia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'PC2.03_Ind01'!$D$12:$I$12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'PC2.03_Ind01'!$D$16:$I$16</c:f>
              <c:numCache>
                <c:formatCode>General</c:formatCode>
                <c:ptCount val="6"/>
                <c:pt idx="0">
                  <c:v>38</c:v>
                </c:pt>
                <c:pt idx="1">
                  <c:v>33</c:v>
                </c:pt>
                <c:pt idx="2">
                  <c:v>24</c:v>
                </c:pt>
                <c:pt idx="3">
                  <c:v>28</c:v>
                </c:pt>
                <c:pt idx="4">
                  <c:v>26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59-48CD-A5F0-94ECB8BE4B1E}"/>
            </c:ext>
          </c:extLst>
        </c:ser>
        <c:ser>
          <c:idx val="5"/>
          <c:order val="5"/>
          <c:tx>
            <c:strRef>
              <c:f>'PC2.03_Ind01'!$B$17</c:f>
              <c:strCache>
                <c:ptCount val="1"/>
                <c:pt idx="0">
                  <c:v>Matemàtiques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'PC2.03_Ind01'!$D$12:$I$12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'PC2.03_Ind01'!$D$17:$I$17</c:f>
              <c:numCache>
                <c:formatCode>General</c:formatCode>
                <c:ptCount val="6"/>
                <c:pt idx="0">
                  <c:v>26</c:v>
                </c:pt>
                <c:pt idx="1">
                  <c:v>29</c:v>
                </c:pt>
                <c:pt idx="2">
                  <c:v>20</c:v>
                </c:pt>
                <c:pt idx="3">
                  <c:v>30</c:v>
                </c:pt>
                <c:pt idx="4">
                  <c:v>37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59-48CD-A5F0-94ECB8BE4B1E}"/>
            </c:ext>
          </c:extLst>
        </c:ser>
        <c:ser>
          <c:idx val="6"/>
          <c:order val="6"/>
          <c:tx>
            <c:strRef>
              <c:f>'PC2.03_Ind01'!$B$18</c:f>
              <c:strCache>
                <c:ptCount val="1"/>
                <c:pt idx="0">
                  <c:v>Matemàtica Computacional i Analítica de Dades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'PC2.03_Ind01'!$D$12:$I$12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'PC2.03_Ind01'!$D$18:$I$18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459-48CD-A5F0-94ECB8BE4B1E}"/>
            </c:ext>
          </c:extLst>
        </c:ser>
        <c:ser>
          <c:idx val="7"/>
          <c:order val="7"/>
          <c:tx>
            <c:strRef>
              <c:f>'PC2.03_Ind01'!$B$19</c:f>
              <c:strCache>
                <c:ptCount val="1"/>
                <c:pt idx="0">
                  <c:v>Nanociència i Nanotecnologia  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'PC2.03_Ind01'!$D$12:$I$12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'PC2.03_Ind01'!$D$19:$I$19</c:f>
              <c:numCache>
                <c:formatCode>General</c:formatCode>
                <c:ptCount val="6"/>
                <c:pt idx="0">
                  <c:v>47</c:v>
                </c:pt>
                <c:pt idx="1">
                  <c:v>18</c:v>
                </c:pt>
                <c:pt idx="2">
                  <c:v>16</c:v>
                </c:pt>
                <c:pt idx="3">
                  <c:v>19</c:v>
                </c:pt>
                <c:pt idx="4">
                  <c:v>12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459-48CD-A5F0-94ECB8BE4B1E}"/>
            </c:ext>
          </c:extLst>
        </c:ser>
        <c:ser>
          <c:idx val="8"/>
          <c:order val="8"/>
          <c:tx>
            <c:strRef>
              <c:f>'PC2.03_Ind01'!$B$20</c:f>
              <c:strCache>
                <c:ptCount val="1"/>
                <c:pt idx="0">
                  <c:v>Química 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'PC2.03_Ind01'!$D$12:$I$12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'PC2.03_Ind01'!$D$20:$I$20</c:f>
              <c:numCache>
                <c:formatCode>General</c:formatCode>
                <c:ptCount val="6"/>
                <c:pt idx="0">
                  <c:v>38</c:v>
                </c:pt>
                <c:pt idx="1">
                  <c:v>40</c:v>
                </c:pt>
                <c:pt idx="2">
                  <c:v>24</c:v>
                </c:pt>
                <c:pt idx="3">
                  <c:v>31</c:v>
                </c:pt>
                <c:pt idx="4">
                  <c:v>32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459-48CD-A5F0-94ECB8BE4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063723168"/>
        <c:axId val="1722346640"/>
      </c:barChart>
      <c:catAx>
        <c:axId val="206372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722346640"/>
        <c:crosses val="autoZero"/>
        <c:auto val="1"/>
        <c:lblAlgn val="ctr"/>
        <c:lblOffset val="100"/>
        <c:noMultiLvlLbl val="0"/>
      </c:catAx>
      <c:valAx>
        <c:axId val="172234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06372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a-ES" sz="1200" b="1">
                <a:effectLst/>
              </a:rPr>
              <a:t>PC2.03_Ind01. Nombre mínim d’entitats col·laboradores en el marc de PE, per curs acadèmic i titulació de grau</a:t>
            </a:r>
            <a:endParaRPr lang="ca-ES" sz="12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rgbClr val="FFFFFF">
                    <a:lumMod val="95000"/>
                  </a:srgbClr>
                </a:solidFill>
              </a:defRPr>
            </a:pPr>
            <a:endParaRPr lang="ca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rgbClr val="FFFFFF">
                  <a:lumMod val="95000"/>
                </a:srgb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'PC2.03_Ind02'!$B$29</c:f>
              <c:strCache>
                <c:ptCount val="1"/>
                <c:pt idx="0">
                  <c:v>9. Gràfic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'PC2.03_Ind02'!$D$12:$H$12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'PC2.03_Ind02'!$C$29:$E$29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541B-421A-A395-B0E4A08FF12B}"/>
            </c:ext>
          </c:extLst>
        </c:ser>
        <c:ser>
          <c:idx val="1"/>
          <c:order val="1"/>
          <c:tx>
            <c:strRef>
              <c:f>'PC2.03_Ind02'!$C$12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'PC2.03_Ind02'!$D$12:$H$12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'PC2.03_Ind02'!$D$12:$H$12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1B-421A-A395-B0E4A08FF12B}"/>
            </c:ext>
          </c:extLst>
        </c:ser>
        <c:ser>
          <c:idx val="2"/>
          <c:order val="2"/>
          <c:tx>
            <c:strRef>
              <c:f>'PC2.03_Ind02'!$B$13</c:f>
              <c:strCache>
                <c:ptCount val="1"/>
                <c:pt idx="0">
                  <c:v>Ciències Ambientals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'PC2.03_Ind02'!$D$12:$H$12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'PC2.03_Ind02'!$D$14:$H$14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4.4000000000000004</c:v>
                </c:pt>
                <c:pt idx="3">
                  <c:v>3</c:v>
                </c:pt>
                <c:pt idx="4">
                  <c:v>4.43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1B-421A-A395-B0E4A08FF12B}"/>
            </c:ext>
          </c:extLst>
        </c:ser>
        <c:ser>
          <c:idx val="3"/>
          <c:order val="3"/>
          <c:tx>
            <c:strRef>
              <c:f>'PC2.03_Ind02'!$B$15</c:f>
              <c:strCache>
                <c:ptCount val="1"/>
                <c:pt idx="0">
                  <c:v>Estadística Aplicada  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'PC2.03_Ind02'!$D$12:$H$12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'PC2.03_Ind02'!$D$15:$H$15</c:f>
              <c:numCache>
                <c:formatCode>General</c:formatCode>
                <c:ptCount val="5"/>
                <c:pt idx="0">
                  <c:v>0</c:v>
                </c:pt>
                <c:pt idx="1">
                  <c:v>4.33</c:v>
                </c:pt>
                <c:pt idx="2">
                  <c:v>4</c:v>
                </c:pt>
                <c:pt idx="3">
                  <c:v>3</c:v>
                </c:pt>
                <c:pt idx="4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1B-421A-A395-B0E4A08FF12B}"/>
            </c:ext>
          </c:extLst>
        </c:ser>
        <c:ser>
          <c:idx val="4"/>
          <c:order val="4"/>
          <c:tx>
            <c:strRef>
              <c:f>'PC2.03_Ind02'!$B$16</c:f>
              <c:strCache>
                <c:ptCount val="1"/>
                <c:pt idx="0">
                  <c:v>Geologia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'PC2.03_Ind02'!$D$12:$H$12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'PC2.03_Ind02'!$D$16:$H$16</c:f>
              <c:numCache>
                <c:formatCode>General</c:formatCode>
                <c:ptCount val="5"/>
                <c:pt idx="0">
                  <c:v>3.22</c:v>
                </c:pt>
                <c:pt idx="1">
                  <c:v>3.35</c:v>
                </c:pt>
                <c:pt idx="2">
                  <c:v>3.58</c:v>
                </c:pt>
                <c:pt idx="3">
                  <c:v>2.83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1B-421A-A395-B0E4A08FF12B}"/>
            </c:ext>
          </c:extLst>
        </c:ser>
        <c:ser>
          <c:idx val="5"/>
          <c:order val="5"/>
          <c:tx>
            <c:strRef>
              <c:f>'PC2.03_Ind02'!$B$17</c:f>
              <c:strCache>
                <c:ptCount val="1"/>
                <c:pt idx="0">
                  <c:v>Física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'PC2.03_Ind02'!$D$12:$H$12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'PC2.03_Ind02'!$D$17:$H$17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4.05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1B-421A-A395-B0E4A08FF12B}"/>
            </c:ext>
          </c:extLst>
        </c:ser>
        <c:ser>
          <c:idx val="6"/>
          <c:order val="6"/>
          <c:tx>
            <c:strRef>
              <c:f>'PC2.03_Ind02'!$B$18</c:f>
              <c:strCache>
                <c:ptCount val="1"/>
                <c:pt idx="0">
                  <c:v>Física+Matemàtiques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'PC2.03_Ind02'!$D$12:$H$12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'PC2.03_Ind02'!$D$18:$H$18</c:f>
              <c:numCache>
                <c:formatCode>General</c:formatCode>
                <c:ptCount val="5"/>
                <c:pt idx="0">
                  <c:v>2.71</c:v>
                </c:pt>
                <c:pt idx="1">
                  <c:v>3.33</c:v>
                </c:pt>
                <c:pt idx="2">
                  <c:v>0</c:v>
                </c:pt>
                <c:pt idx="3">
                  <c:v>2</c:v>
                </c:pt>
                <c:pt idx="4">
                  <c:v>4.33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1B-421A-A395-B0E4A08FF12B}"/>
            </c:ext>
          </c:extLst>
        </c:ser>
        <c:ser>
          <c:idx val="7"/>
          <c:order val="7"/>
          <c:tx>
            <c:strRef>
              <c:f>'PC2.03_Ind02'!$B$19</c:f>
              <c:strCache>
                <c:ptCount val="1"/>
                <c:pt idx="0">
                  <c:v>Física+Química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'PC2.03_Ind02'!$D$12:$H$12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'PC2.03_Ind02'!$D$19:$H$19</c:f>
              <c:numCache>
                <c:formatCode>General</c:formatCode>
                <c:ptCount val="5"/>
                <c:pt idx="0">
                  <c:v>3.4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41B-421A-A395-B0E4A08FF12B}"/>
            </c:ext>
          </c:extLst>
        </c:ser>
        <c:ser>
          <c:idx val="8"/>
          <c:order val="8"/>
          <c:tx>
            <c:strRef>
              <c:f>'PC2.03_Ind02'!$B$20</c:f>
              <c:strCache>
                <c:ptCount val="1"/>
                <c:pt idx="0">
                  <c:v>Matemàtiques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'PC2.03_Ind02'!$D$12:$H$12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'PC2.03_Ind02'!$D$20:$H$20</c:f>
              <c:numCache>
                <c:formatCode>General</c:formatCode>
                <c:ptCount val="5"/>
                <c:pt idx="0">
                  <c:v>3.7</c:v>
                </c:pt>
                <c:pt idx="1">
                  <c:v>2.09</c:v>
                </c:pt>
                <c:pt idx="2">
                  <c:v>2.91</c:v>
                </c:pt>
                <c:pt idx="3">
                  <c:v>2.5</c:v>
                </c:pt>
                <c:pt idx="4">
                  <c:v>3.83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41B-421A-A395-B0E4A08FF12B}"/>
            </c:ext>
          </c:extLst>
        </c:ser>
        <c:ser>
          <c:idx val="9"/>
          <c:order val="9"/>
          <c:tx>
            <c:strRef>
              <c:f>'PC2.03_Ind02'!$B$21</c:f>
              <c:strCache>
                <c:ptCount val="1"/>
                <c:pt idx="0">
                  <c:v>Matemàtica Computacional i Analítica de Dades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'PC2.03_Ind02'!$D$12:$H$12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'PC2.03_Ind02'!$D$21:$H$21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1B-421A-A395-B0E4A08FF12B}"/>
            </c:ext>
          </c:extLst>
        </c:ser>
        <c:ser>
          <c:idx val="10"/>
          <c:order val="10"/>
          <c:tx>
            <c:strRef>
              <c:f>'PC2.03_Ind02'!$B$22</c:f>
              <c:strCache>
                <c:ptCount val="1"/>
                <c:pt idx="0">
                  <c:v>Química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'PC2.03_Ind02'!$D$12:$H$12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'PC2.03_Ind02'!$D$22:$H$22</c:f>
              <c:numCache>
                <c:formatCode>General</c:formatCode>
                <c:ptCount val="5"/>
                <c:pt idx="0">
                  <c:v>3.4</c:v>
                </c:pt>
                <c:pt idx="1">
                  <c:v>4.22</c:v>
                </c:pt>
                <c:pt idx="2">
                  <c:v>4.1500000000000004</c:v>
                </c:pt>
                <c:pt idx="3">
                  <c:v>2</c:v>
                </c:pt>
                <c:pt idx="4">
                  <c:v>3.68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41B-421A-A395-B0E4A08FF12B}"/>
            </c:ext>
          </c:extLst>
        </c:ser>
        <c:ser>
          <c:idx val="11"/>
          <c:order val="11"/>
          <c:tx>
            <c:strRef>
              <c:f>'PC2.03_Ind02'!$B$23</c:f>
              <c:strCache>
                <c:ptCount val="1"/>
                <c:pt idx="0">
                  <c:v>Nanociència i Nanotecnologia   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'PC2.03_Ind02'!$D$12:$H$12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'PC2.03_Ind02'!$D$23:$H$23</c:f>
              <c:numCache>
                <c:formatCode>General</c:formatCode>
                <c:ptCount val="5"/>
                <c:pt idx="0">
                  <c:v>3.48</c:v>
                </c:pt>
                <c:pt idx="1">
                  <c:v>2.62</c:v>
                </c:pt>
                <c:pt idx="2">
                  <c:v>3</c:v>
                </c:pt>
                <c:pt idx="3">
                  <c:v>2.25</c:v>
                </c:pt>
                <c:pt idx="4">
                  <c:v>4.2699999999999996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41B-421A-A395-B0E4A08FF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054746032"/>
        <c:axId val="2033922208"/>
      </c:barChart>
      <c:catAx>
        <c:axId val="205474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033922208"/>
        <c:crosses val="autoZero"/>
        <c:auto val="1"/>
        <c:lblAlgn val="ctr"/>
        <c:lblOffset val="100"/>
        <c:noMultiLvlLbl val="0"/>
      </c:catAx>
      <c:valAx>
        <c:axId val="203392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054746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a-ES" sz="1800" b="1">
                <a:effectLst/>
              </a:rPr>
              <a:t>PC2.04_Ind01. Nombre de Comissions de Docència realitzades per curs i titulació.</a:t>
            </a:r>
            <a:endParaRPr lang="ca-ES" sz="18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'PC2.04_Ind01'!$B$38</c:f>
              <c:strCache>
                <c:ptCount val="1"/>
                <c:pt idx="0">
                  <c:v>9. Gràfic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'PC2.04_Ind01'!$D$11:$I$11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'PC2.04_Ind01'!$C$38:$E$38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FA5D-4405-9B8F-E52580434009}"/>
            </c:ext>
          </c:extLst>
        </c:ser>
        <c:ser>
          <c:idx val="1"/>
          <c:order val="1"/>
          <c:tx>
            <c:strRef>
              <c:f>'PC2.04_Ind01'!$C$11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'PC2.04_Ind01'!$D$11:$I$11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'PC2.04_Ind01'!$D$11:$H$11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5D-4405-9B8F-E52580434009}"/>
            </c:ext>
          </c:extLst>
        </c:ser>
        <c:ser>
          <c:idx val="2"/>
          <c:order val="2"/>
          <c:tx>
            <c:strRef>
              <c:f>'PC2.04_Ind01'!$B$12</c:f>
              <c:strCache>
                <c:ptCount val="1"/>
                <c:pt idx="0">
                  <c:v>Química  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'PC2.04_Ind01'!$D$11:$I$11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'PC2.04_Ind01'!$D$12:$I$12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5D-4405-9B8F-E52580434009}"/>
            </c:ext>
          </c:extLst>
        </c:ser>
        <c:ser>
          <c:idx val="3"/>
          <c:order val="3"/>
          <c:tx>
            <c:strRef>
              <c:f>'PC2.04_Ind01'!$B$13</c:f>
              <c:strCache>
                <c:ptCount val="1"/>
                <c:pt idx="0">
                  <c:v>Ciències Ambientals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'PC2.04_Ind01'!$D$11:$I$11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'PC2.04_Ind01'!$D$13:$I$13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5D-4405-9B8F-E52580434009}"/>
            </c:ext>
          </c:extLst>
        </c:ser>
        <c:ser>
          <c:idx val="4"/>
          <c:order val="4"/>
          <c:tx>
            <c:strRef>
              <c:f>'PC2.04_Ind01'!$B$14</c:f>
              <c:strCache>
                <c:ptCount val="1"/>
                <c:pt idx="0">
                  <c:v>Estadística Aplicada  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'PC2.04_Ind01'!$D$11:$I$11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'PC2.04_Ind01'!$D$14:$I$14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5D-4405-9B8F-E52580434009}"/>
            </c:ext>
          </c:extLst>
        </c:ser>
        <c:ser>
          <c:idx val="5"/>
          <c:order val="5"/>
          <c:tx>
            <c:strRef>
              <c:f>'PC2.04_Ind01'!$B$15</c:f>
              <c:strCache>
                <c:ptCount val="1"/>
                <c:pt idx="0">
                  <c:v>Física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'PC2.04_Ind01'!$D$11:$I$11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'PC2.04_Ind01'!$D$15:$I$15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5D-4405-9B8F-E52580434009}"/>
            </c:ext>
          </c:extLst>
        </c:ser>
        <c:ser>
          <c:idx val="6"/>
          <c:order val="6"/>
          <c:tx>
            <c:strRef>
              <c:f>'PC2.04_Ind01'!$B$16</c:f>
              <c:strCache>
                <c:ptCount val="1"/>
                <c:pt idx="0">
                  <c:v>Matemàtiques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'PC2.04_Ind01'!$D$11:$I$11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'PC2.04_Ind01'!$D$16:$I$16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5D-4405-9B8F-E52580434009}"/>
            </c:ext>
          </c:extLst>
        </c:ser>
        <c:ser>
          <c:idx val="7"/>
          <c:order val="7"/>
          <c:tx>
            <c:strRef>
              <c:f>'PC2.04_Ind01'!$B$17</c:f>
              <c:strCache>
                <c:ptCount val="1"/>
                <c:pt idx="0">
                  <c:v>Física i Matemàtiques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'PC2.04_Ind01'!$D$11:$I$11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'PC2.04_Ind01'!$D$17:$I$17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5D-4405-9B8F-E52580434009}"/>
            </c:ext>
          </c:extLst>
        </c:ser>
        <c:ser>
          <c:idx val="8"/>
          <c:order val="8"/>
          <c:tx>
            <c:strRef>
              <c:f>'PC2.04_Ind01'!$B$18</c:f>
              <c:strCache>
                <c:ptCount val="1"/>
                <c:pt idx="0">
                  <c:v>Física i Química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'PC2.04_Ind01'!$D$11:$I$11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'PC2.04_Ind01'!$D$18:$I$18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A5D-4405-9B8F-E52580434009}"/>
            </c:ext>
          </c:extLst>
        </c:ser>
        <c:ser>
          <c:idx val="9"/>
          <c:order val="9"/>
          <c:tx>
            <c:strRef>
              <c:f>'PC2.04_Ind01'!$B$19</c:f>
              <c:strCache>
                <c:ptCount val="1"/>
                <c:pt idx="0">
                  <c:v>Geologia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'PC2.04_Ind01'!$D$11:$I$11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'PC2.04_Ind01'!$D$19:$I$19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A5D-4405-9B8F-E52580434009}"/>
            </c:ext>
          </c:extLst>
        </c:ser>
        <c:ser>
          <c:idx val="10"/>
          <c:order val="10"/>
          <c:tx>
            <c:strRef>
              <c:f>'PC2.04_Ind01'!$B$20</c:f>
              <c:strCache>
                <c:ptCount val="1"/>
                <c:pt idx="0">
                  <c:v>Ciències Ambientals i Geologia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'PC2.04_Ind01'!$D$11:$I$11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'PC2.04_Ind01'!$D$20:$I$20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A5D-4405-9B8F-E52580434009}"/>
            </c:ext>
          </c:extLst>
        </c:ser>
        <c:ser>
          <c:idx val="11"/>
          <c:order val="11"/>
          <c:tx>
            <c:strRef>
              <c:f>'PC2.04_Ind01'!$B$21</c:f>
              <c:strCache>
                <c:ptCount val="1"/>
                <c:pt idx="0">
                  <c:v> Matemàtica Computacional i Anàlisi de Dades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'PC2.04_Ind01'!$D$11:$I$11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'PC2.04_Ind01'!$D$21:$I$21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A5D-4405-9B8F-E52580434009}"/>
            </c:ext>
          </c:extLst>
        </c:ser>
        <c:ser>
          <c:idx val="12"/>
          <c:order val="12"/>
          <c:tx>
            <c:strRef>
              <c:f>'PC2.04_Ind01'!$B$22</c:f>
              <c:strCache>
                <c:ptCount val="1"/>
                <c:pt idx="0">
                  <c:v>Nanociència i Nanotecnologia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'PC2.04_Ind01'!$D$11:$I$11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'PC2.04_Ind01'!$D$22:$I$22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A5D-4405-9B8F-E52580434009}"/>
            </c:ext>
          </c:extLst>
        </c:ser>
        <c:ser>
          <c:idx val="13"/>
          <c:order val="13"/>
          <c:tx>
            <c:strRef>
              <c:f>'PC2.04_Ind01'!$B$23</c:f>
              <c:strCache>
                <c:ptCount val="1"/>
                <c:pt idx="0">
                  <c:v>Història de la Ciència: ciència, història i societat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'PC2.04_Ind01'!$D$11:$I$11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'PC2.04_Ind01'!$D$23:$I$23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A5D-4405-9B8F-E52580434009}"/>
            </c:ext>
          </c:extLst>
        </c:ser>
        <c:ser>
          <c:idx val="14"/>
          <c:order val="14"/>
          <c:tx>
            <c:strRef>
              <c:f>'PC2.04_Ind01'!$B$25</c:f>
              <c:strCache>
                <c:ptCount val="1"/>
                <c:pt idx="0">
                  <c:v>Química industrial i introducció a la recerca química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'PC2.04_Ind01'!$D$11:$I$11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'PC2.04_Ind01'!$D$25:$I$25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A5D-4405-9B8F-E52580434009}"/>
            </c:ext>
          </c:extLst>
        </c:ser>
        <c:ser>
          <c:idx val="15"/>
          <c:order val="15"/>
          <c:tx>
            <c:strRef>
              <c:f>'PC2.04_Ind01'!$B$26</c:f>
              <c:strCache>
                <c:ptCount val="1"/>
                <c:pt idx="0">
                  <c:v>Nanociència i Nanotecnologia avançade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'PC2.04_Ind01'!$D$11:$I$11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'PC2.04_Ind01'!$D$26:$I$26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A5D-4405-9B8F-E52580434009}"/>
            </c:ext>
          </c:extLst>
        </c:ser>
        <c:ser>
          <c:idx val="16"/>
          <c:order val="16"/>
          <c:tx>
            <c:strRef>
              <c:f>'PC2.04_Ind01'!$B$27</c:f>
              <c:strCache>
                <c:ptCount val="1"/>
                <c:pt idx="0">
                  <c:v>Estudis interdisciplinars en Sostenibilitat Ambiental, Econòmica i Social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'PC2.04_Ind01'!$D$11:$I$11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'PC2.04_Ind01'!$D$27:$I$27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A5D-4405-9B8F-E52580434009}"/>
            </c:ext>
          </c:extLst>
        </c:ser>
        <c:ser>
          <c:idx val="17"/>
          <c:order val="17"/>
          <c:tx>
            <c:strRef>
              <c:f>'PC2.04_Ind01'!$B$28</c:f>
              <c:strCache>
                <c:ptCount val="1"/>
                <c:pt idx="0">
                  <c:v>Física d'Altes Energies, Astrofísica i Cosmologia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'PC2.04_Ind01'!$D$11:$I$11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'PC2.04_Ind01'!$D$28:$I$28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A5D-4405-9B8F-E52580434009}"/>
            </c:ext>
          </c:extLst>
        </c:ser>
        <c:ser>
          <c:idx val="18"/>
          <c:order val="18"/>
          <c:tx>
            <c:strRef>
              <c:f>'PC2.04_Ind01'!$B$29</c:f>
              <c:strCache>
                <c:ptCount val="1"/>
                <c:pt idx="0">
                  <c:v>Paleobiologia i Registre Fòssil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'PC2.04_Ind01'!$D$11:$I$11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'PC2.04_Ind01'!$D$29:$I$29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A5D-4405-9B8F-E52580434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01633296"/>
        <c:axId val="1354707760"/>
      </c:barChart>
      <c:lineChart>
        <c:grouping val="standard"/>
        <c:varyColors val="0"/>
        <c:ser>
          <c:idx val="19"/>
          <c:order val="19"/>
          <c:tx>
            <c:strRef>
              <c:f>'PC2.04_Ind01'!$B$32</c:f>
              <c:strCache>
                <c:ptCount val="1"/>
                <c:pt idx="0">
                  <c:v>Valor objectiu</c:v>
                </c:pt>
              </c:strCache>
            </c:strRef>
          </c:tx>
          <c:spPr>
            <a:ln w="34925" cap="rnd">
              <a:solidFill>
                <a:schemeClr val="accent2">
                  <a:lumMod val="8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>
                    <a:lumMod val="8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val>
            <c:numRef>
              <c:f>'PC2.04_Ind01'!$D$32:$H$32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A5D-4405-9B8F-E52580434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1633296"/>
        <c:axId val="1354707760"/>
      </c:lineChart>
      <c:catAx>
        <c:axId val="2001633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54707760"/>
        <c:crosses val="autoZero"/>
        <c:auto val="1"/>
        <c:lblAlgn val="ctr"/>
        <c:lblOffset val="100"/>
        <c:noMultiLvlLbl val="0"/>
      </c:catAx>
      <c:valAx>
        <c:axId val="135470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001633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a-ES" sz="1200" b="1">
                <a:effectLst/>
              </a:rPr>
              <a:t>PC2.04_Ind02. Taxa d’abandonament a primer curs</a:t>
            </a:r>
            <a:endParaRPr lang="ca-E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'PC2.04_Ind02'!$B$13</c:f>
              <c:strCache>
                <c:ptCount val="1"/>
                <c:pt idx="0">
                  <c:v>Ciències Ambientals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'PC2.04_Ind02'!$D$12:$I$12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'PC2.04_Ind02'!$D$13:$I$13</c:f>
              <c:numCache>
                <c:formatCode>0%</c:formatCode>
                <c:ptCount val="6"/>
                <c:pt idx="0">
                  <c:v>0.1</c:v>
                </c:pt>
                <c:pt idx="1">
                  <c:v>0.16</c:v>
                </c:pt>
                <c:pt idx="2">
                  <c:v>0.06</c:v>
                </c:pt>
                <c:pt idx="3">
                  <c:v>0.21</c:v>
                </c:pt>
                <c:pt idx="4" formatCode="0.00%">
                  <c:v>0</c:v>
                </c:pt>
                <c:pt idx="5" formatCode="General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61FD-4596-AEDF-3EA71B1E7AE2}"/>
            </c:ext>
          </c:extLst>
        </c:ser>
        <c:ser>
          <c:idx val="2"/>
          <c:order val="2"/>
          <c:tx>
            <c:strRef>
              <c:f>'PC2.04_Ind02'!$B$14</c:f>
              <c:strCache>
                <c:ptCount val="1"/>
                <c:pt idx="0">
                  <c:v>Ciències Ambientals i Grau en Geologia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'PC2.04_Ind02'!$D$12:$I$12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'PC2.04_Ind02'!$D$14:$I$14</c:f>
              <c:numCache>
                <c:formatCode>General</c:formatCode>
                <c:ptCount val="6"/>
                <c:pt idx="0" formatCode="0%">
                  <c:v>0.15</c:v>
                </c:pt>
                <c:pt idx="1">
                  <c:v>0</c:v>
                </c:pt>
                <c:pt idx="2" formatCode="0%">
                  <c:v>0</c:v>
                </c:pt>
                <c:pt idx="3" formatCode="0%">
                  <c:v>0.2</c:v>
                </c:pt>
                <c:pt idx="4" formatCode="0.00%">
                  <c:v>0</c:v>
                </c:pt>
                <c:pt idx="5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61FD-4596-AEDF-3EA71B1E7AE2}"/>
            </c:ext>
          </c:extLst>
        </c:ser>
        <c:ser>
          <c:idx val="4"/>
          <c:order val="4"/>
          <c:tx>
            <c:strRef>
              <c:f>'PC2.04_Ind02'!$B$16</c:f>
              <c:strCache>
                <c:ptCount val="1"/>
                <c:pt idx="0">
                  <c:v>Física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'PC2.04_Ind02'!$D$12:$I$12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'PC2.04_Ind02'!$D$16:$I$16</c:f>
              <c:numCache>
                <c:formatCode>0%</c:formatCode>
                <c:ptCount val="6"/>
                <c:pt idx="0">
                  <c:v>0.18</c:v>
                </c:pt>
                <c:pt idx="1">
                  <c:v>0.06</c:v>
                </c:pt>
                <c:pt idx="2">
                  <c:v>0.15</c:v>
                </c:pt>
                <c:pt idx="3">
                  <c:v>0.05</c:v>
                </c:pt>
                <c:pt idx="4" formatCode="0.00%">
                  <c:v>0</c:v>
                </c:pt>
                <c:pt idx="5" formatCode="0.00%">
                  <c:v>0.1053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FD-4596-AEDF-3EA71B1E7AE2}"/>
            </c:ext>
          </c:extLst>
        </c:ser>
        <c:ser>
          <c:idx val="5"/>
          <c:order val="5"/>
          <c:tx>
            <c:strRef>
              <c:f>'PC2.04_Ind02'!$B$17</c:f>
              <c:strCache>
                <c:ptCount val="1"/>
                <c:pt idx="0">
                  <c:v>Física i Matemàtiques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'PC2.04_Ind02'!$D$12:$I$12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'PC2.04_Ind02'!$D$17:$I$17</c:f>
              <c:numCache>
                <c:formatCode>0%</c:formatCode>
                <c:ptCount val="6"/>
                <c:pt idx="0">
                  <c:v>0</c:v>
                </c:pt>
                <c:pt idx="1">
                  <c:v>0.09</c:v>
                </c:pt>
                <c:pt idx="2">
                  <c:v>0.05</c:v>
                </c:pt>
                <c:pt idx="3">
                  <c:v>0.05</c:v>
                </c:pt>
                <c:pt idx="4" formatCode="0.00%">
                  <c:v>0</c:v>
                </c:pt>
                <c:pt idx="5" formatCode="0.00%">
                  <c:v>9.0899999999999995E-2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61FD-4596-AEDF-3EA71B1E7AE2}"/>
            </c:ext>
          </c:extLst>
        </c:ser>
        <c:ser>
          <c:idx val="6"/>
          <c:order val="6"/>
          <c:tx>
            <c:strRef>
              <c:f>'PC2.04_Ind02'!$B$18</c:f>
              <c:strCache>
                <c:ptCount val="1"/>
                <c:pt idx="0">
                  <c:v>Física i Química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'PC2.04_Ind02'!$D$12:$I$12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'PC2.04_Ind02'!$D$18:$I$18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0.14000000000000001</c:v>
                </c:pt>
                <c:pt idx="4" formatCode="0.00%">
                  <c:v>0</c:v>
                </c:pt>
                <c:pt idx="5" formatCode="0.00%">
                  <c:v>9.5200000000000007E-2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B-61FD-4596-AEDF-3EA71B1E7AE2}"/>
            </c:ext>
          </c:extLst>
        </c:ser>
        <c:ser>
          <c:idx val="7"/>
          <c:order val="7"/>
          <c:tx>
            <c:strRef>
              <c:f>'PC2.04_Ind02'!$B$19</c:f>
              <c:strCache>
                <c:ptCount val="1"/>
                <c:pt idx="0">
                  <c:v>Geologia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'PC2.04_Ind02'!$D$12:$I$12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'PC2.04_Ind02'!$D$19:$I$19</c:f>
              <c:numCache>
                <c:formatCode>0%</c:formatCode>
                <c:ptCount val="6"/>
                <c:pt idx="0">
                  <c:v>0.33</c:v>
                </c:pt>
                <c:pt idx="1">
                  <c:v>0.34</c:v>
                </c:pt>
                <c:pt idx="2">
                  <c:v>0.4</c:v>
                </c:pt>
                <c:pt idx="3">
                  <c:v>0.38</c:v>
                </c:pt>
                <c:pt idx="4" formatCode="0.00%">
                  <c:v>0</c:v>
                </c:pt>
                <c:pt idx="5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FD-4596-AEDF-3EA71B1E7AE2}"/>
            </c:ext>
          </c:extLst>
        </c:ser>
        <c:ser>
          <c:idx val="8"/>
          <c:order val="8"/>
          <c:tx>
            <c:strRef>
              <c:f>'PC2.04_Ind02'!$B$20</c:f>
              <c:strCache>
                <c:ptCount val="1"/>
                <c:pt idx="0">
                  <c:v>Matemàtica Computacional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'PC2.04_Ind02'!$D$12:$I$12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'PC2.04_Ind02'!$D$20:$I$20</c:f>
              <c:numCache>
                <c:formatCode>0%</c:formatCode>
                <c:ptCount val="6"/>
                <c:pt idx="0" formatCode="General">
                  <c:v>0</c:v>
                </c:pt>
                <c:pt idx="1">
                  <c:v>0.24</c:v>
                </c:pt>
                <c:pt idx="2">
                  <c:v>0.12</c:v>
                </c:pt>
                <c:pt idx="3">
                  <c:v>0.06</c:v>
                </c:pt>
                <c:pt idx="4" formatCode="0.00%">
                  <c:v>0</c:v>
                </c:pt>
                <c:pt idx="5" formatCode="0.00%">
                  <c:v>0.21429999999999999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FD-4596-AEDF-3EA71B1E7AE2}"/>
            </c:ext>
          </c:extLst>
        </c:ser>
        <c:ser>
          <c:idx val="9"/>
          <c:order val="9"/>
          <c:tx>
            <c:strRef>
              <c:f>'PC2.04_Ind02'!$B$21</c:f>
              <c:strCache>
                <c:ptCount val="1"/>
                <c:pt idx="0">
                  <c:v>Matemàtiques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'PC2.04_Ind02'!$D$12:$I$12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'PC2.04_Ind02'!$D$21:$I$21</c:f>
              <c:numCache>
                <c:formatCode>0%</c:formatCode>
                <c:ptCount val="6"/>
                <c:pt idx="0">
                  <c:v>0.25</c:v>
                </c:pt>
                <c:pt idx="1">
                  <c:v>0.12</c:v>
                </c:pt>
                <c:pt idx="2">
                  <c:v>0.21</c:v>
                </c:pt>
                <c:pt idx="3">
                  <c:v>0.12</c:v>
                </c:pt>
                <c:pt idx="4" formatCode="0.00%">
                  <c:v>0</c:v>
                </c:pt>
                <c:pt idx="5" formatCode="0.00%">
                  <c:v>0.20630000000000001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FD-4596-AEDF-3EA71B1E7AE2}"/>
            </c:ext>
          </c:extLst>
        </c:ser>
        <c:ser>
          <c:idx val="10"/>
          <c:order val="10"/>
          <c:tx>
            <c:strRef>
              <c:f>'PC2.04_Ind02'!$B$22</c:f>
              <c:strCache>
                <c:ptCount val="1"/>
                <c:pt idx="0">
                  <c:v>Nanociència i Nanotecnologia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'PC2.04_Ind02'!$D$12:$I$12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'PC2.04_Ind02'!$D$22:$I$22</c:f>
              <c:numCache>
                <c:formatCode>0%</c:formatCode>
                <c:ptCount val="6"/>
                <c:pt idx="0">
                  <c:v>0.13</c:v>
                </c:pt>
                <c:pt idx="1">
                  <c:v>0.23</c:v>
                </c:pt>
                <c:pt idx="2">
                  <c:v>0.13</c:v>
                </c:pt>
                <c:pt idx="3">
                  <c:v>0.18</c:v>
                </c:pt>
                <c:pt idx="4" formatCode="0.00%">
                  <c:v>0</c:v>
                </c:pt>
                <c:pt idx="5" formatCode="0.00%">
                  <c:v>0.18459999999999999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FD-4596-AEDF-3EA71B1E7AE2}"/>
            </c:ext>
          </c:extLst>
        </c:ser>
        <c:ser>
          <c:idx val="11"/>
          <c:order val="11"/>
          <c:tx>
            <c:strRef>
              <c:f>'PC2.04_Ind02'!$B$23</c:f>
              <c:strCache>
                <c:ptCount val="1"/>
                <c:pt idx="0">
                  <c:v>Química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'PC2.04_Ind02'!$D$12:$I$12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'PC2.04_Ind02'!$D$23:$I$23</c:f>
              <c:numCache>
                <c:formatCode>0%</c:formatCode>
                <c:ptCount val="6"/>
                <c:pt idx="0">
                  <c:v>0.18</c:v>
                </c:pt>
                <c:pt idx="1">
                  <c:v>0.12</c:v>
                </c:pt>
                <c:pt idx="2">
                  <c:v>0.21</c:v>
                </c:pt>
                <c:pt idx="3">
                  <c:v>0.18</c:v>
                </c:pt>
                <c:pt idx="4" formatCode="0.00%">
                  <c:v>0</c:v>
                </c:pt>
                <c:pt idx="5" formatCode="0.00%">
                  <c:v>0.15970000000000001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C-61FD-4596-AEDF-3EA71B1E7AE2}"/>
            </c:ext>
          </c:extLst>
        </c:ser>
        <c:ser>
          <c:idx val="13"/>
          <c:order val="13"/>
          <c:tx>
            <c:strRef>
              <c:f>'PC2.04_Ind02'!$B$24</c:f>
              <c:strCache>
                <c:ptCount val="1"/>
                <c:pt idx="0">
                  <c:v>Estudis Interdisciplinaris en Sostenibilitat Ambiental, Econòmica i Social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'PC2.04_Ind02'!$D$12:$I$12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'PC2.04_Ind02'!$D$24:$I$24</c:f>
              <c:numCache>
                <c:formatCode>0%</c:formatCode>
                <c:ptCount val="6"/>
                <c:pt idx="0">
                  <c:v>0</c:v>
                </c:pt>
                <c:pt idx="1">
                  <c:v>7.0000000000000007E-2</c:v>
                </c:pt>
                <c:pt idx="2">
                  <c:v>0</c:v>
                </c:pt>
                <c:pt idx="3">
                  <c:v>0.04</c:v>
                </c:pt>
                <c:pt idx="4" formatCode="0.00%">
                  <c:v>0</c:v>
                </c:pt>
                <c:pt idx="5" formatCode="0.00%">
                  <c:v>1.9199999999999998E-2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1FD-4596-AEDF-3EA71B1E7AE2}"/>
            </c:ext>
          </c:extLst>
        </c:ser>
        <c:ser>
          <c:idx val="14"/>
          <c:order val="14"/>
          <c:tx>
            <c:strRef>
              <c:f>'PC2.04_Ind02'!$B$25</c:f>
              <c:strCache>
                <c:ptCount val="1"/>
                <c:pt idx="0">
                  <c:v>Física d'Altes Energies, Astrofísica i Cosmologia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'PC2.04_Ind02'!$D$12:$I$12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'PC2.04_Ind02'!$D$25:$I$25</c:f>
              <c:numCache>
                <c:formatCode>0%</c:formatCode>
                <c:ptCount val="6"/>
                <c:pt idx="0">
                  <c:v>0</c:v>
                </c:pt>
                <c:pt idx="1">
                  <c:v>0.15</c:v>
                </c:pt>
                <c:pt idx="2">
                  <c:v>0.1</c:v>
                </c:pt>
                <c:pt idx="3">
                  <c:v>0.06</c:v>
                </c:pt>
                <c:pt idx="4" formatCode="0.00%">
                  <c:v>0</c:v>
                </c:pt>
                <c:pt idx="5" formatCode="0.00%">
                  <c:v>3.85E-2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1FD-4596-AEDF-3EA71B1E7AE2}"/>
            </c:ext>
          </c:extLst>
        </c:ser>
        <c:ser>
          <c:idx val="15"/>
          <c:order val="15"/>
          <c:tx>
            <c:strRef>
              <c:f>'PC2.04_Ind02'!$B$26</c:f>
              <c:strCache>
                <c:ptCount val="1"/>
                <c:pt idx="0">
                  <c:v>Història de la Ciència. Ciència, Història i Societat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'PC2.04_Ind02'!$D$12:$I$12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'PC2.04_Ind02'!$D$26:$I$26</c:f>
              <c:numCache>
                <c:formatCode>0%</c:formatCode>
                <c:ptCount val="6"/>
                <c:pt idx="0">
                  <c:v>0</c:v>
                </c:pt>
                <c:pt idx="1">
                  <c:v>0.05</c:v>
                </c:pt>
                <c:pt idx="2">
                  <c:v>0.06</c:v>
                </c:pt>
                <c:pt idx="3">
                  <c:v>7.0000000000000007E-2</c:v>
                </c:pt>
                <c:pt idx="4" formatCode="0.00%">
                  <c:v>0</c:v>
                </c:pt>
                <c:pt idx="5" formatCode="0.00%">
                  <c:v>5.5599999999999997E-2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1FD-4596-AEDF-3EA71B1E7AE2}"/>
            </c:ext>
          </c:extLst>
        </c:ser>
        <c:ser>
          <c:idx val="16"/>
          <c:order val="16"/>
          <c:tx>
            <c:strRef>
              <c:f>'PC2.04_Ind02'!$B$27</c:f>
              <c:strCache>
                <c:ptCount val="1"/>
                <c:pt idx="0">
                  <c:v>Modelització per a la Ciència i l'Enginyeria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'PC2.04_Ind02'!$D$12:$I$12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'PC2.04_Ind02'!$D$27:$I$27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0.09</c:v>
                </c:pt>
                <c:pt idx="3">
                  <c:v>0.03</c:v>
                </c:pt>
                <c:pt idx="4" formatCode="0.00%">
                  <c:v>0</c:v>
                </c:pt>
                <c:pt idx="5" formatCode="0.00%">
                  <c:v>2.3800000000000002E-2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1FD-4596-AEDF-3EA71B1E7AE2}"/>
            </c:ext>
          </c:extLst>
        </c:ser>
        <c:ser>
          <c:idx val="17"/>
          <c:order val="17"/>
          <c:tx>
            <c:strRef>
              <c:f>'PC2.04_Ind02'!$B$28</c:f>
              <c:strCache>
                <c:ptCount val="1"/>
                <c:pt idx="0">
                  <c:v>Nanociència i Nanotecnologia Avançades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'PC2.04_Ind02'!$D$12:$I$12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'PC2.04_Ind02'!$D$28:$I$28</c:f>
              <c:numCache>
                <c:formatCode>0%</c:formatCode>
                <c:ptCount val="6"/>
                <c:pt idx="0">
                  <c:v>0</c:v>
                </c:pt>
                <c:pt idx="1">
                  <c:v>0.17</c:v>
                </c:pt>
                <c:pt idx="2">
                  <c:v>0.14000000000000001</c:v>
                </c:pt>
                <c:pt idx="3">
                  <c:v>0.09</c:v>
                </c:pt>
                <c:pt idx="4" formatCode="0.00%">
                  <c:v>0</c:v>
                </c:pt>
                <c:pt idx="5" formatCode="0.00%">
                  <c:v>8.3299999999999999E-2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1FD-4596-AEDF-3EA71B1E7AE2}"/>
            </c:ext>
          </c:extLst>
        </c:ser>
        <c:ser>
          <c:idx val="18"/>
          <c:order val="18"/>
          <c:tx>
            <c:strRef>
              <c:f>'PC2.04_Ind02'!$B$29</c:f>
              <c:strCache>
                <c:ptCount val="1"/>
                <c:pt idx="0">
                  <c:v>Paleobiologia i Registre Fòssil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'PC2.04_Ind02'!$D$12:$I$12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'PC2.04_Ind02'!$D$29:$I$29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1FD-4596-AEDF-3EA71B1E7AE2}"/>
            </c:ext>
          </c:extLst>
        </c:ser>
        <c:ser>
          <c:idx val="19"/>
          <c:order val="19"/>
          <c:tx>
            <c:strRef>
              <c:f>'PC2.04_Ind02'!$B$30</c:f>
              <c:strCache>
                <c:ptCount val="1"/>
                <c:pt idx="0">
                  <c:v>Química Industrial i Introducció a la Recerca de la Química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'PC2.04_Ind02'!$D$12:$I$12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'PC2.04_Ind02'!$D$30:$I$30</c:f>
              <c:numCache>
                <c:formatCode>0%</c:formatCode>
                <c:ptCount val="6"/>
                <c:pt idx="0">
                  <c:v>0</c:v>
                </c:pt>
                <c:pt idx="1">
                  <c:v>0.02</c:v>
                </c:pt>
                <c:pt idx="2">
                  <c:v>0.03</c:v>
                </c:pt>
                <c:pt idx="3">
                  <c:v>0.05</c:v>
                </c:pt>
                <c:pt idx="4" formatCode="0.00%">
                  <c:v>0</c:v>
                </c:pt>
                <c:pt idx="5" formatCode="0.00%">
                  <c:v>5.1299999999999998E-2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1FD-4596-AEDF-3EA71B1E7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2692607"/>
        <c:axId val="190270467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'PC2.04_Ind02'!$D$12:$I$12</c15:sqref>
                        </c15:formulaRef>
                      </c:ext>
                    </c:extLst>
                    <c:strCache>
                      <c:ptCount val="6"/>
                      <c:pt idx="0">
                        <c:v>2017/2018</c:v>
                      </c:pt>
                      <c:pt idx="1">
                        <c:v>2018/2019</c:v>
                      </c:pt>
                      <c:pt idx="2">
                        <c:v>2019/2020</c:v>
                      </c:pt>
                      <c:pt idx="3">
                        <c:v>2020/2021</c:v>
                      </c:pt>
                      <c:pt idx="4">
                        <c:v>2021/2022</c:v>
                      </c:pt>
                      <c:pt idx="5">
                        <c:v>2022/2023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'PC2.04_Ind02'!$H$4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61FD-4596-AEDF-3EA71B1E7AE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'PC2.04_Ind02'!$D$15</c15:sqref>
                        </c15:formulaRef>
                      </c:ext>
                    </c:extLst>
                    <c:strCache>
                      <c:ptCount val="1"/>
                      <c:pt idx="0">
                        <c:v>26%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'PC2.04_Ind02'!$D$12:$I$12</c15:sqref>
                        </c15:formulaRef>
                      </c:ext>
                    </c:extLst>
                    <c:strCache>
                      <c:ptCount val="6"/>
                      <c:pt idx="0">
                        <c:v>2017/2018</c:v>
                      </c:pt>
                      <c:pt idx="1">
                        <c:v>2018/2019</c:v>
                      </c:pt>
                      <c:pt idx="2">
                        <c:v>2019/2020</c:v>
                      </c:pt>
                      <c:pt idx="3">
                        <c:v>2020/2021</c:v>
                      </c:pt>
                      <c:pt idx="4">
                        <c:v>2021/2022</c:v>
                      </c:pt>
                      <c:pt idx="5">
                        <c:v>2022/2023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'PC2.04_Ind02'!$D$15:$G$15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 formatCode="0%">
                        <c:v>0.26</c:v>
                      </c:pt>
                      <c:pt idx="1">
                        <c:v>0</c:v>
                      </c:pt>
                      <c:pt idx="2" formatCode="0%">
                        <c:v>0.22</c:v>
                      </c:pt>
                      <c:pt idx="3" formatCode="0%">
                        <c:v>0.28000000000000003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1FD-4596-AEDF-3EA71B1E7AE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2"/>
          <c:order val="12"/>
          <c:tx>
            <c:strRef>
              <c:f>'PC2.04_Ind02'!$B$33</c:f>
              <c:strCache>
                <c:ptCount val="1"/>
                <c:pt idx="0">
                  <c:v>Valor objectiu</c:v>
                </c:pt>
              </c:strCache>
            </c:strRef>
          </c:tx>
          <c:spPr>
            <a:ln w="3492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>
                    <a:lumMod val="80000"/>
                    <a:lumOff val="2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val>
            <c:numRef>
              <c:f>'PC2.04_Ind02'!$D$33:$I$33</c:f>
              <c:numCache>
                <c:formatCode>0%</c:formatCode>
                <c:ptCount val="6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FD-4596-AEDF-3EA71B1E7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2692607"/>
        <c:axId val="1902704671"/>
      </c:lineChart>
      <c:catAx>
        <c:axId val="1902692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902704671"/>
        <c:crosses val="autoZero"/>
        <c:auto val="1"/>
        <c:lblAlgn val="ctr"/>
        <c:lblOffset val="100"/>
        <c:noMultiLvlLbl val="0"/>
      </c:catAx>
      <c:valAx>
        <c:axId val="1902704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902692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a-ES" sz="1800" b="1">
                <a:effectLst/>
              </a:rPr>
              <a:t>PC2.04_Ind03. Taxa d’eficiència per titulació.</a:t>
            </a:r>
            <a:endParaRPr lang="ca-ES" sz="18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'PC2.04_Ind03'!$B$35</c:f>
              <c:strCache>
                <c:ptCount val="1"/>
                <c:pt idx="0">
                  <c:v>9. Gràfic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'PC2.04_Ind03'!$D$12:$I$12</c:f>
              <c:strCache>
                <c:ptCount val="6"/>
                <c:pt idx="0">
                  <c:v>2017/2018(TC)</c:v>
                </c:pt>
                <c:pt idx="1">
                  <c:v>2018/2019(TC)</c:v>
                </c:pt>
                <c:pt idx="2">
                  <c:v>2019/2020(TC)</c:v>
                </c:pt>
                <c:pt idx="3">
                  <c:v>2020/2021(TC)</c:v>
                </c:pt>
                <c:pt idx="4">
                  <c:v>2021/2022(TC)</c:v>
                </c:pt>
                <c:pt idx="5">
                  <c:v>2022/2023(TC)</c:v>
                </c:pt>
              </c:strCache>
            </c:strRef>
          </c:cat>
          <c:val>
            <c:numRef>
              <c:f>'PC2.04_Ind03'!$C$35:$E$35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B686-4344-90F5-016A009C5EF4}"/>
            </c:ext>
          </c:extLst>
        </c:ser>
        <c:ser>
          <c:idx val="1"/>
          <c:order val="1"/>
          <c:tx>
            <c:strRef>
              <c:f>'PC2.04_Ind03'!$C$12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'PC2.04_Ind03'!$D$12:$I$12</c:f>
              <c:strCache>
                <c:ptCount val="6"/>
                <c:pt idx="0">
                  <c:v>2017/2018(TC)</c:v>
                </c:pt>
                <c:pt idx="1">
                  <c:v>2018/2019(TC)</c:v>
                </c:pt>
                <c:pt idx="2">
                  <c:v>2019/2020(TC)</c:v>
                </c:pt>
                <c:pt idx="3">
                  <c:v>2020/2021(TC)</c:v>
                </c:pt>
                <c:pt idx="4">
                  <c:v>2021/2022(TC)</c:v>
                </c:pt>
                <c:pt idx="5">
                  <c:v>2022/2023(TC)</c:v>
                </c:pt>
              </c:strCache>
            </c:strRef>
          </c:cat>
          <c:val>
            <c:numRef>
              <c:f>'PC2.04_Ind03'!$D$12:$H$12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86-4344-90F5-016A009C5EF4}"/>
            </c:ext>
          </c:extLst>
        </c:ser>
        <c:ser>
          <c:idx val="2"/>
          <c:order val="2"/>
          <c:tx>
            <c:strRef>
              <c:f>'PC2.04_Ind03'!$B$13</c:f>
              <c:strCache>
                <c:ptCount val="1"/>
                <c:pt idx="0">
                  <c:v>Ciències Ambientals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'PC2.04_Ind03'!$D$12:$I$12</c:f>
              <c:strCache>
                <c:ptCount val="6"/>
                <c:pt idx="0">
                  <c:v>2017/2018(TC)</c:v>
                </c:pt>
                <c:pt idx="1">
                  <c:v>2018/2019(TC)</c:v>
                </c:pt>
                <c:pt idx="2">
                  <c:v>2019/2020(TC)</c:v>
                </c:pt>
                <c:pt idx="3">
                  <c:v>2020/2021(TC)</c:v>
                </c:pt>
                <c:pt idx="4">
                  <c:v>2021/2022(TC)</c:v>
                </c:pt>
                <c:pt idx="5">
                  <c:v>2022/2023(TC)</c:v>
                </c:pt>
              </c:strCache>
            </c:strRef>
          </c:cat>
          <c:val>
            <c:numRef>
              <c:f>'PC2.04_Ind03'!$D$13:$H$13</c:f>
              <c:numCache>
                <c:formatCode>0%</c:formatCode>
                <c:ptCount val="5"/>
                <c:pt idx="0">
                  <c:v>0.95</c:v>
                </c:pt>
                <c:pt idx="1">
                  <c:v>0.93</c:v>
                </c:pt>
                <c:pt idx="2">
                  <c:v>0.97</c:v>
                </c:pt>
                <c:pt idx="3">
                  <c:v>0.93</c:v>
                </c:pt>
                <c:pt idx="4">
                  <c:v>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86-4344-90F5-016A009C5EF4}"/>
            </c:ext>
          </c:extLst>
        </c:ser>
        <c:ser>
          <c:idx val="3"/>
          <c:order val="3"/>
          <c:tx>
            <c:strRef>
              <c:f>'PC2.04_Ind03'!$B$14</c:f>
              <c:strCache>
                <c:ptCount val="1"/>
                <c:pt idx="0">
                  <c:v>Ciències Ambientals i Geologia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'PC2.04_Ind03'!$D$12:$I$12</c:f>
              <c:strCache>
                <c:ptCount val="6"/>
                <c:pt idx="0">
                  <c:v>2017/2018(TC)</c:v>
                </c:pt>
                <c:pt idx="1">
                  <c:v>2018/2019(TC)</c:v>
                </c:pt>
                <c:pt idx="2">
                  <c:v>2019/2020(TC)</c:v>
                </c:pt>
                <c:pt idx="3">
                  <c:v>2020/2021(TC)</c:v>
                </c:pt>
                <c:pt idx="4">
                  <c:v>2021/2022(TC)</c:v>
                </c:pt>
                <c:pt idx="5">
                  <c:v>2022/2023(TC)</c:v>
                </c:pt>
              </c:strCache>
            </c:strRef>
          </c:cat>
          <c:val>
            <c:numRef>
              <c:f>'PC2.04_Ind03'!$D$14:$H$14</c:f>
              <c:numCache>
                <c:formatCode>0%</c:formatCode>
                <c:ptCount val="5"/>
                <c:pt idx="0">
                  <c:v>0.99</c:v>
                </c:pt>
                <c:pt idx="1">
                  <c:v>0.95</c:v>
                </c:pt>
                <c:pt idx="2">
                  <c:v>0.96</c:v>
                </c:pt>
                <c:pt idx="3">
                  <c:v>0.94</c:v>
                </c:pt>
                <c:pt idx="4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86-4344-90F5-016A009C5EF4}"/>
            </c:ext>
          </c:extLst>
        </c:ser>
        <c:ser>
          <c:idx val="4"/>
          <c:order val="4"/>
          <c:tx>
            <c:strRef>
              <c:f>'PC2.04_Ind03'!#REF!</c:f>
              <c:strCache>
                <c:ptCount val="1"/>
                <c:pt idx="0">
                  <c:v>#¡REF!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'PC2.04_Ind03'!$D$12:$I$12</c:f>
              <c:strCache>
                <c:ptCount val="6"/>
                <c:pt idx="0">
                  <c:v>2017/2018(TC)</c:v>
                </c:pt>
                <c:pt idx="1">
                  <c:v>2018/2019(TC)</c:v>
                </c:pt>
                <c:pt idx="2">
                  <c:v>2019/2020(TC)</c:v>
                </c:pt>
                <c:pt idx="3">
                  <c:v>2020/2021(TC)</c:v>
                </c:pt>
                <c:pt idx="4">
                  <c:v>2021/2022(TC)</c:v>
                </c:pt>
                <c:pt idx="5">
                  <c:v>2022/2023(TC)</c:v>
                </c:pt>
              </c:strCache>
            </c:strRef>
          </c:cat>
          <c:val>
            <c:numRef>
              <c:f>'PC2.04_Ind03'!#REF!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86-4344-90F5-016A009C5EF4}"/>
            </c:ext>
          </c:extLst>
        </c:ser>
        <c:ser>
          <c:idx val="5"/>
          <c:order val="5"/>
          <c:tx>
            <c:strRef>
              <c:f>'PC2.04_Ind03'!$B$16</c:f>
              <c:strCache>
                <c:ptCount val="1"/>
                <c:pt idx="0">
                  <c:v>Física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'PC2.04_Ind03'!$D$12:$I$12</c:f>
              <c:strCache>
                <c:ptCount val="6"/>
                <c:pt idx="0">
                  <c:v>2017/2018(TC)</c:v>
                </c:pt>
                <c:pt idx="1">
                  <c:v>2018/2019(TC)</c:v>
                </c:pt>
                <c:pt idx="2">
                  <c:v>2019/2020(TC)</c:v>
                </c:pt>
                <c:pt idx="3">
                  <c:v>2020/2021(TC)</c:v>
                </c:pt>
                <c:pt idx="4">
                  <c:v>2021/2022(TC)</c:v>
                </c:pt>
                <c:pt idx="5">
                  <c:v>2022/2023(TC)</c:v>
                </c:pt>
              </c:strCache>
            </c:strRef>
          </c:cat>
          <c:val>
            <c:numRef>
              <c:f>'PC2.04_Ind03'!$D$16:$H$16</c:f>
              <c:numCache>
                <c:formatCode>0%</c:formatCode>
                <c:ptCount val="5"/>
                <c:pt idx="0">
                  <c:v>0.91</c:v>
                </c:pt>
                <c:pt idx="1">
                  <c:v>0.91</c:v>
                </c:pt>
                <c:pt idx="2">
                  <c:v>0.89</c:v>
                </c:pt>
                <c:pt idx="3">
                  <c:v>0.87</c:v>
                </c:pt>
                <c:pt idx="4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686-4344-90F5-016A009C5EF4}"/>
            </c:ext>
          </c:extLst>
        </c:ser>
        <c:ser>
          <c:idx val="6"/>
          <c:order val="6"/>
          <c:tx>
            <c:strRef>
              <c:f>'PC2.04_Ind03'!$B$17</c:f>
              <c:strCache>
                <c:ptCount val="1"/>
                <c:pt idx="0">
                  <c:v>Física i Matemàtiques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'PC2.04_Ind03'!$D$12:$I$12</c:f>
              <c:strCache>
                <c:ptCount val="6"/>
                <c:pt idx="0">
                  <c:v>2017/2018(TC)</c:v>
                </c:pt>
                <c:pt idx="1">
                  <c:v>2018/2019(TC)</c:v>
                </c:pt>
                <c:pt idx="2">
                  <c:v>2019/2020(TC)</c:v>
                </c:pt>
                <c:pt idx="3">
                  <c:v>2020/2021(TC)</c:v>
                </c:pt>
                <c:pt idx="4">
                  <c:v>2021/2022(TC)</c:v>
                </c:pt>
                <c:pt idx="5">
                  <c:v>2022/2023(TC)</c:v>
                </c:pt>
              </c:strCache>
            </c:strRef>
          </c:cat>
          <c:val>
            <c:numRef>
              <c:f>'PC2.04_Ind03'!$D$17:$I$17</c:f>
              <c:numCache>
                <c:formatCode>0%</c:formatCode>
                <c:ptCount val="6"/>
                <c:pt idx="0">
                  <c:v>1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0.98</c:v>
                </c:pt>
                <c:pt idx="5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86-4344-90F5-016A009C5EF4}"/>
            </c:ext>
          </c:extLst>
        </c:ser>
        <c:ser>
          <c:idx val="7"/>
          <c:order val="7"/>
          <c:tx>
            <c:strRef>
              <c:f>'PC2.04_Ind03'!$B$18</c:f>
              <c:strCache>
                <c:ptCount val="1"/>
                <c:pt idx="0">
                  <c:v>Física i Química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'PC2.04_Ind03'!$D$12:$I$12</c:f>
              <c:strCache>
                <c:ptCount val="6"/>
                <c:pt idx="0">
                  <c:v>2017/2018(TC)</c:v>
                </c:pt>
                <c:pt idx="1">
                  <c:v>2018/2019(TC)</c:v>
                </c:pt>
                <c:pt idx="2">
                  <c:v>2019/2020(TC)</c:v>
                </c:pt>
                <c:pt idx="3">
                  <c:v>2020/2021(TC)</c:v>
                </c:pt>
                <c:pt idx="4">
                  <c:v>2021/2022(TC)</c:v>
                </c:pt>
                <c:pt idx="5">
                  <c:v>2022/2023(TC)</c:v>
                </c:pt>
              </c:strCache>
            </c:strRef>
          </c:cat>
          <c:val>
            <c:numRef>
              <c:f>'PC2.04_Ind03'!$D$18:$H$18</c:f>
              <c:numCache>
                <c:formatCode>0%</c:formatCode>
                <c:ptCount val="5"/>
                <c:pt idx="0" formatCode="General">
                  <c:v>0</c:v>
                </c:pt>
                <c:pt idx="1">
                  <c:v>0.95</c:v>
                </c:pt>
                <c:pt idx="2">
                  <c:v>0.97</c:v>
                </c:pt>
                <c:pt idx="3">
                  <c:v>0.95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686-4344-90F5-016A009C5EF4}"/>
            </c:ext>
          </c:extLst>
        </c:ser>
        <c:ser>
          <c:idx val="8"/>
          <c:order val="8"/>
          <c:tx>
            <c:strRef>
              <c:f>'PC2.04_Ind03'!$B$19</c:f>
              <c:strCache>
                <c:ptCount val="1"/>
                <c:pt idx="0">
                  <c:v>Geologia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'PC2.04_Ind03'!$D$12:$I$12</c:f>
              <c:strCache>
                <c:ptCount val="6"/>
                <c:pt idx="0">
                  <c:v>2017/2018(TC)</c:v>
                </c:pt>
                <c:pt idx="1">
                  <c:v>2018/2019(TC)</c:v>
                </c:pt>
                <c:pt idx="2">
                  <c:v>2019/2020(TC)</c:v>
                </c:pt>
                <c:pt idx="3">
                  <c:v>2020/2021(TC)</c:v>
                </c:pt>
                <c:pt idx="4">
                  <c:v>2021/2022(TC)</c:v>
                </c:pt>
                <c:pt idx="5">
                  <c:v>2022/2023(TC)</c:v>
                </c:pt>
              </c:strCache>
            </c:strRef>
          </c:cat>
          <c:val>
            <c:numRef>
              <c:f>'PC2.04_Ind03'!$D$19:$I$19</c:f>
              <c:numCache>
                <c:formatCode>0%</c:formatCode>
                <c:ptCount val="6"/>
                <c:pt idx="0">
                  <c:v>0.88</c:v>
                </c:pt>
                <c:pt idx="1">
                  <c:v>0.86</c:v>
                </c:pt>
                <c:pt idx="2">
                  <c:v>0.87</c:v>
                </c:pt>
                <c:pt idx="3">
                  <c:v>0.84</c:v>
                </c:pt>
                <c:pt idx="4">
                  <c:v>0.81</c:v>
                </c:pt>
                <c:pt idx="5">
                  <c:v>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686-4344-90F5-016A009C5EF4}"/>
            </c:ext>
          </c:extLst>
        </c:ser>
        <c:ser>
          <c:idx val="9"/>
          <c:order val="9"/>
          <c:tx>
            <c:strRef>
              <c:f>'PC2.04_Ind03'!$B$20</c:f>
              <c:strCache>
                <c:ptCount val="1"/>
                <c:pt idx="0">
                  <c:v>Matemàtiques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'PC2.04_Ind03'!$D$12:$I$12</c:f>
              <c:strCache>
                <c:ptCount val="6"/>
                <c:pt idx="0">
                  <c:v>2017/2018(TC)</c:v>
                </c:pt>
                <c:pt idx="1">
                  <c:v>2018/2019(TC)</c:v>
                </c:pt>
                <c:pt idx="2">
                  <c:v>2019/2020(TC)</c:v>
                </c:pt>
                <c:pt idx="3">
                  <c:v>2020/2021(TC)</c:v>
                </c:pt>
                <c:pt idx="4">
                  <c:v>2021/2022(TC)</c:v>
                </c:pt>
                <c:pt idx="5">
                  <c:v>2022/2023(TC)</c:v>
                </c:pt>
              </c:strCache>
            </c:strRef>
          </c:cat>
          <c:val>
            <c:numRef>
              <c:f>'PC2.04_Ind03'!$D$20:$I$20</c:f>
              <c:numCache>
                <c:formatCode>0%</c:formatCode>
                <c:ptCount val="6"/>
                <c:pt idx="0">
                  <c:v>0.81</c:v>
                </c:pt>
                <c:pt idx="1">
                  <c:v>0.84</c:v>
                </c:pt>
                <c:pt idx="2">
                  <c:v>0.84</c:v>
                </c:pt>
                <c:pt idx="3">
                  <c:v>0.83</c:v>
                </c:pt>
                <c:pt idx="4">
                  <c:v>0.84</c:v>
                </c:pt>
                <c:pt idx="5">
                  <c:v>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686-4344-90F5-016A009C5EF4}"/>
            </c:ext>
          </c:extLst>
        </c:ser>
        <c:ser>
          <c:idx val="10"/>
          <c:order val="10"/>
          <c:tx>
            <c:strRef>
              <c:f>'PC2.04_Ind03'!$B$21</c:f>
              <c:strCache>
                <c:ptCount val="1"/>
                <c:pt idx="0">
                  <c:v>Nanociència i Nanotecnologia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'PC2.04_Ind03'!$D$12:$I$12</c:f>
              <c:strCache>
                <c:ptCount val="6"/>
                <c:pt idx="0">
                  <c:v>2017/2018(TC)</c:v>
                </c:pt>
                <c:pt idx="1">
                  <c:v>2018/2019(TC)</c:v>
                </c:pt>
                <c:pt idx="2">
                  <c:v>2019/2020(TC)</c:v>
                </c:pt>
                <c:pt idx="3">
                  <c:v>2020/2021(TC)</c:v>
                </c:pt>
                <c:pt idx="4">
                  <c:v>2021/2022(TC)</c:v>
                </c:pt>
                <c:pt idx="5">
                  <c:v>2022/2023(TC)</c:v>
                </c:pt>
              </c:strCache>
            </c:strRef>
          </c:cat>
          <c:val>
            <c:numRef>
              <c:f>'PC2.04_Ind03'!$D$21:$I$21</c:f>
              <c:numCache>
                <c:formatCode>0%</c:formatCode>
                <c:ptCount val="6"/>
                <c:pt idx="0">
                  <c:v>0.94</c:v>
                </c:pt>
                <c:pt idx="1">
                  <c:v>0.93</c:v>
                </c:pt>
                <c:pt idx="2">
                  <c:v>0.93</c:v>
                </c:pt>
                <c:pt idx="3">
                  <c:v>0.92</c:v>
                </c:pt>
                <c:pt idx="4">
                  <c:v>0.92</c:v>
                </c:pt>
                <c:pt idx="5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686-4344-90F5-016A009C5EF4}"/>
            </c:ext>
          </c:extLst>
        </c:ser>
        <c:ser>
          <c:idx val="11"/>
          <c:order val="11"/>
          <c:tx>
            <c:strRef>
              <c:f>'PC2.04_Ind03'!$B$22</c:f>
              <c:strCache>
                <c:ptCount val="1"/>
                <c:pt idx="0">
                  <c:v>Química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'PC2.04_Ind03'!$D$12:$I$12</c:f>
              <c:strCache>
                <c:ptCount val="6"/>
                <c:pt idx="0">
                  <c:v>2017/2018(TC)</c:v>
                </c:pt>
                <c:pt idx="1">
                  <c:v>2018/2019(TC)</c:v>
                </c:pt>
                <c:pt idx="2">
                  <c:v>2019/2020(TC)</c:v>
                </c:pt>
                <c:pt idx="3">
                  <c:v>2020/2021(TC)</c:v>
                </c:pt>
                <c:pt idx="4">
                  <c:v>2021/2022(TC)</c:v>
                </c:pt>
                <c:pt idx="5">
                  <c:v>2022/2023(TC)</c:v>
                </c:pt>
              </c:strCache>
            </c:strRef>
          </c:cat>
          <c:val>
            <c:numRef>
              <c:f>'PC2.04_Ind03'!$D$22:$I$22</c:f>
              <c:numCache>
                <c:formatCode>0%</c:formatCode>
                <c:ptCount val="6"/>
                <c:pt idx="0">
                  <c:v>0.91</c:v>
                </c:pt>
                <c:pt idx="1">
                  <c:v>0.87</c:v>
                </c:pt>
                <c:pt idx="2">
                  <c:v>0.88</c:v>
                </c:pt>
                <c:pt idx="3">
                  <c:v>0.87</c:v>
                </c:pt>
                <c:pt idx="4">
                  <c:v>0.86</c:v>
                </c:pt>
                <c:pt idx="5">
                  <c:v>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686-4344-90F5-016A009C5EF4}"/>
            </c:ext>
          </c:extLst>
        </c:ser>
        <c:ser>
          <c:idx val="12"/>
          <c:order val="12"/>
          <c:tx>
            <c:strRef>
              <c:f>'PC2.04_Ind03'!$B$23</c:f>
              <c:strCache>
                <c:ptCount val="1"/>
                <c:pt idx="0">
                  <c:v>Estudis Interdisciplinaris en Sostenibilitat Ambiental, Econòmica i Social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'PC2.04_Ind03'!$D$12:$I$12</c:f>
              <c:strCache>
                <c:ptCount val="6"/>
                <c:pt idx="0">
                  <c:v>2017/2018(TC)</c:v>
                </c:pt>
                <c:pt idx="1">
                  <c:v>2018/2019(TC)</c:v>
                </c:pt>
                <c:pt idx="2">
                  <c:v>2019/2020(TC)</c:v>
                </c:pt>
                <c:pt idx="3">
                  <c:v>2020/2021(TC)</c:v>
                </c:pt>
                <c:pt idx="4">
                  <c:v>2021/2022(TC)</c:v>
                </c:pt>
                <c:pt idx="5">
                  <c:v>2022/2023(TC)</c:v>
                </c:pt>
              </c:strCache>
            </c:strRef>
          </c:cat>
          <c:val>
            <c:numRef>
              <c:f>'PC2.04_Ind03'!$D$23:$I$23</c:f>
              <c:numCache>
                <c:formatCode>0%</c:formatCode>
                <c:ptCount val="6"/>
                <c:pt idx="0">
                  <c:v>0.99</c:v>
                </c:pt>
                <c:pt idx="1">
                  <c:v>1</c:v>
                </c:pt>
                <c:pt idx="2">
                  <c:v>0.98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686-4344-90F5-016A009C5EF4}"/>
            </c:ext>
          </c:extLst>
        </c:ser>
        <c:ser>
          <c:idx val="13"/>
          <c:order val="13"/>
          <c:tx>
            <c:strRef>
              <c:f>'PC2.04_Ind03'!$B$24</c:f>
              <c:strCache>
                <c:ptCount val="1"/>
                <c:pt idx="0">
                  <c:v>Física d'Altes Energies, Astrofísica i Cosmologia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'PC2.04_Ind03'!$D$12:$I$12</c:f>
              <c:strCache>
                <c:ptCount val="6"/>
                <c:pt idx="0">
                  <c:v>2017/2018(TC)</c:v>
                </c:pt>
                <c:pt idx="1">
                  <c:v>2018/2019(TC)</c:v>
                </c:pt>
                <c:pt idx="2">
                  <c:v>2019/2020(TC)</c:v>
                </c:pt>
                <c:pt idx="3">
                  <c:v>2020/2021(TC)</c:v>
                </c:pt>
                <c:pt idx="4">
                  <c:v>2021/2022(TC)</c:v>
                </c:pt>
                <c:pt idx="5">
                  <c:v>2022/2023(TC)</c:v>
                </c:pt>
              </c:strCache>
            </c:strRef>
          </c:cat>
          <c:val>
            <c:numRef>
              <c:f>'PC2.04_Ind03'!$D$24:$I$24</c:f>
              <c:numCache>
                <c:formatCode>0%</c:formatCode>
                <c:ptCount val="6"/>
                <c:pt idx="0">
                  <c:v>1</c:v>
                </c:pt>
                <c:pt idx="1">
                  <c:v>0.96</c:v>
                </c:pt>
                <c:pt idx="2">
                  <c:v>0.98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686-4344-90F5-016A009C5EF4}"/>
            </c:ext>
          </c:extLst>
        </c:ser>
        <c:ser>
          <c:idx val="14"/>
          <c:order val="14"/>
          <c:tx>
            <c:strRef>
              <c:f>'PC2.04_Ind03'!$B$25</c:f>
              <c:strCache>
                <c:ptCount val="1"/>
                <c:pt idx="0">
                  <c:v>Història de la Ciència. Ciència, Història i Societat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'PC2.04_Ind03'!$D$12:$I$12</c:f>
              <c:strCache>
                <c:ptCount val="6"/>
                <c:pt idx="0">
                  <c:v>2017/2018(TC)</c:v>
                </c:pt>
                <c:pt idx="1">
                  <c:v>2018/2019(TC)</c:v>
                </c:pt>
                <c:pt idx="2">
                  <c:v>2019/2020(TC)</c:v>
                </c:pt>
                <c:pt idx="3">
                  <c:v>2020/2021(TC)</c:v>
                </c:pt>
                <c:pt idx="4">
                  <c:v>2021/2022(TC)</c:v>
                </c:pt>
                <c:pt idx="5">
                  <c:v>2022/2023(TC)</c:v>
                </c:pt>
              </c:strCache>
            </c:strRef>
          </c:cat>
          <c:val>
            <c:numRef>
              <c:f>'PC2.04_Ind03'!$D$25:$I$25</c:f>
              <c:numCache>
                <c:formatCode>0%</c:formatCode>
                <c:ptCount val="6"/>
                <c:pt idx="0">
                  <c:v>1</c:v>
                </c:pt>
                <c:pt idx="1">
                  <c:v>1</c:v>
                </c:pt>
                <c:pt idx="2">
                  <c:v>0.97</c:v>
                </c:pt>
                <c:pt idx="3">
                  <c:v>0.97</c:v>
                </c:pt>
                <c:pt idx="4">
                  <c:v>0.98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686-4344-90F5-016A009C5EF4}"/>
            </c:ext>
          </c:extLst>
        </c:ser>
        <c:ser>
          <c:idx val="15"/>
          <c:order val="15"/>
          <c:tx>
            <c:strRef>
              <c:f>'PC2.04_Ind03'!$B$26</c:f>
              <c:strCache>
                <c:ptCount val="1"/>
                <c:pt idx="0">
                  <c:v>Modelització per a la Ciència i l'Enginyeria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'PC2.04_Ind03'!$D$12:$I$12</c:f>
              <c:strCache>
                <c:ptCount val="6"/>
                <c:pt idx="0">
                  <c:v>2017/2018(TC)</c:v>
                </c:pt>
                <c:pt idx="1">
                  <c:v>2018/2019(TC)</c:v>
                </c:pt>
                <c:pt idx="2">
                  <c:v>2019/2020(TC)</c:v>
                </c:pt>
                <c:pt idx="3">
                  <c:v>2020/2021(TC)</c:v>
                </c:pt>
                <c:pt idx="4">
                  <c:v>2021/2022(TC)</c:v>
                </c:pt>
                <c:pt idx="5">
                  <c:v>2022/2023(TC)</c:v>
                </c:pt>
              </c:strCache>
            </c:strRef>
          </c:cat>
          <c:val>
            <c:numRef>
              <c:f>'PC2.04_Ind03'!$D$26:$I$26</c:f>
              <c:numCache>
                <c:formatCode>0%</c:formatCode>
                <c:ptCount val="6"/>
                <c:pt idx="0">
                  <c:v>0.96</c:v>
                </c:pt>
                <c:pt idx="1">
                  <c:v>0.98</c:v>
                </c:pt>
                <c:pt idx="2">
                  <c:v>0.99</c:v>
                </c:pt>
                <c:pt idx="3">
                  <c:v>0.99</c:v>
                </c:pt>
                <c:pt idx="4">
                  <c:v>0.98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686-4344-90F5-016A009C5EF4}"/>
            </c:ext>
          </c:extLst>
        </c:ser>
        <c:ser>
          <c:idx val="16"/>
          <c:order val="16"/>
          <c:tx>
            <c:strRef>
              <c:f>'PC2.04_Ind03'!$B$27</c:f>
              <c:strCache>
                <c:ptCount val="1"/>
                <c:pt idx="0">
                  <c:v>Nanociència i Nanotecnologia Avançades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'PC2.04_Ind03'!$D$12:$I$12</c:f>
              <c:strCache>
                <c:ptCount val="6"/>
                <c:pt idx="0">
                  <c:v>2017/2018(TC)</c:v>
                </c:pt>
                <c:pt idx="1">
                  <c:v>2018/2019(TC)</c:v>
                </c:pt>
                <c:pt idx="2">
                  <c:v>2019/2020(TC)</c:v>
                </c:pt>
                <c:pt idx="3">
                  <c:v>2020/2021(TC)</c:v>
                </c:pt>
                <c:pt idx="4">
                  <c:v>2021/2022(TC)</c:v>
                </c:pt>
                <c:pt idx="5">
                  <c:v>2022/2023(TC)</c:v>
                </c:pt>
              </c:strCache>
            </c:strRef>
          </c:cat>
          <c:val>
            <c:numRef>
              <c:f>'PC2.04_Ind03'!$D$27:$I$27</c:f>
              <c:numCache>
                <c:formatCode>0%</c:formatCode>
                <c:ptCount val="6"/>
                <c:pt idx="0">
                  <c:v>0.93</c:v>
                </c:pt>
                <c:pt idx="1">
                  <c:v>0.98</c:v>
                </c:pt>
                <c:pt idx="2">
                  <c:v>0.98</c:v>
                </c:pt>
                <c:pt idx="3">
                  <c:v>0.98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686-4344-90F5-016A009C5EF4}"/>
            </c:ext>
          </c:extLst>
        </c:ser>
        <c:ser>
          <c:idx val="17"/>
          <c:order val="17"/>
          <c:tx>
            <c:strRef>
              <c:f>'PC2.04_Ind03'!$B$28</c:f>
              <c:strCache>
                <c:ptCount val="1"/>
                <c:pt idx="0">
                  <c:v>Paleobiologia i Registre Fòssil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'PC2.04_Ind03'!$D$12:$I$12</c:f>
              <c:strCache>
                <c:ptCount val="6"/>
                <c:pt idx="0">
                  <c:v>2017/2018(TC)</c:v>
                </c:pt>
                <c:pt idx="1">
                  <c:v>2018/2019(TC)</c:v>
                </c:pt>
                <c:pt idx="2">
                  <c:v>2019/2020(TC)</c:v>
                </c:pt>
                <c:pt idx="3">
                  <c:v>2020/2021(TC)</c:v>
                </c:pt>
                <c:pt idx="4">
                  <c:v>2021/2022(TC)</c:v>
                </c:pt>
                <c:pt idx="5">
                  <c:v>2022/2023(TC)</c:v>
                </c:pt>
              </c:strCache>
            </c:strRef>
          </c:cat>
          <c:val>
            <c:numRef>
              <c:f>'PC2.04_Ind03'!$D$28:$I$28</c:f>
              <c:numCache>
                <c:formatCode>0%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0.96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686-4344-90F5-016A009C5EF4}"/>
            </c:ext>
          </c:extLst>
        </c:ser>
        <c:ser>
          <c:idx val="18"/>
          <c:order val="18"/>
          <c:tx>
            <c:strRef>
              <c:f>'PC2.04_Ind03'!$B$29</c:f>
              <c:strCache>
                <c:ptCount val="1"/>
                <c:pt idx="0">
                  <c:v>Química Industrial i Introducció a la Recerca de la Química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'PC2.04_Ind03'!$D$12:$I$12</c:f>
              <c:strCache>
                <c:ptCount val="6"/>
                <c:pt idx="0">
                  <c:v>2017/2018(TC)</c:v>
                </c:pt>
                <c:pt idx="1">
                  <c:v>2018/2019(TC)</c:v>
                </c:pt>
                <c:pt idx="2">
                  <c:v>2019/2020(TC)</c:v>
                </c:pt>
                <c:pt idx="3">
                  <c:v>2020/2021(TC)</c:v>
                </c:pt>
                <c:pt idx="4">
                  <c:v>2021/2022(TC)</c:v>
                </c:pt>
                <c:pt idx="5">
                  <c:v>2022/2023(TC)</c:v>
                </c:pt>
              </c:strCache>
            </c:strRef>
          </c:cat>
          <c:val>
            <c:numRef>
              <c:f>'PC2.04_Ind03'!$D$29:$I$29</c:f>
              <c:numCache>
                <c:formatCode>0%</c:formatCode>
                <c:ptCount val="6"/>
                <c:pt idx="0">
                  <c:v>1</c:v>
                </c:pt>
                <c:pt idx="1">
                  <c:v>1</c:v>
                </c:pt>
                <c:pt idx="2">
                  <c:v>0.98</c:v>
                </c:pt>
                <c:pt idx="3">
                  <c:v>0.98</c:v>
                </c:pt>
                <c:pt idx="4">
                  <c:v>0.97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686-4344-90F5-016A009C5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63604848"/>
        <c:axId val="1722342320"/>
      </c:barChart>
      <c:lineChart>
        <c:grouping val="standard"/>
        <c:varyColors val="0"/>
        <c:ser>
          <c:idx val="19"/>
          <c:order val="19"/>
          <c:tx>
            <c:strRef>
              <c:f>'PC2.04_Ind03'!$B$32</c:f>
              <c:strCache>
                <c:ptCount val="1"/>
                <c:pt idx="0">
                  <c:v>Valor objectiu</c:v>
                </c:pt>
              </c:strCache>
            </c:strRef>
          </c:tx>
          <c:spPr>
            <a:ln w="34925" cap="rnd">
              <a:solidFill>
                <a:schemeClr val="accent2">
                  <a:lumMod val="8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>
                    <a:lumMod val="8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val>
            <c:numRef>
              <c:f>'PC2.04_Ind03'!$D$32:$I$32</c:f>
              <c:numCache>
                <c:formatCode>0%</c:formatCode>
                <c:ptCount val="6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686-4344-90F5-016A009C5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604848"/>
        <c:axId val="1722342320"/>
      </c:lineChart>
      <c:catAx>
        <c:axId val="206360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722342320"/>
        <c:crosses val="autoZero"/>
        <c:auto val="1"/>
        <c:lblAlgn val="ctr"/>
        <c:lblOffset val="100"/>
        <c:noMultiLvlLbl val="0"/>
      </c:catAx>
      <c:valAx>
        <c:axId val="172234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063604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a-ES"/>
              <a:t>PC2.04_Ind4. Nombre de titulacions amb una valoració global superior o igual a 3 sobre 4. (Enquesta d’assignatures)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'PC2.04_Ind4'!$C$10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'PC2.04_Ind4'!$D$10:$H$10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'PC2.04_Ind4'!$D$10:$G$10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B7-4CDF-B1E5-A5CDB1E605FB}"/>
            </c:ext>
          </c:extLst>
        </c:ser>
        <c:ser>
          <c:idx val="1"/>
          <c:order val="1"/>
          <c:tx>
            <c:strRef>
              <c:f>'PC2.04_Ind4'!$B$11</c:f>
              <c:strCache>
                <c:ptCount val="1"/>
                <c:pt idx="0">
                  <c:v>Ciències Ambientals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'PC2.04_Ind4'!$D$10:$H$10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'PC2.04_Ind4'!$D$11:$H$11</c:f>
              <c:numCache>
                <c:formatCode>General</c:formatCode>
                <c:ptCount val="5"/>
                <c:pt idx="0">
                  <c:v>3.01</c:v>
                </c:pt>
                <c:pt idx="1">
                  <c:v>3.13</c:v>
                </c:pt>
                <c:pt idx="2">
                  <c:v>3.02</c:v>
                </c:pt>
                <c:pt idx="3">
                  <c:v>3.09</c:v>
                </c:pt>
                <c:pt idx="4">
                  <c:v>3.0249999999999999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B7-4CDF-B1E5-A5CDB1E605FB}"/>
            </c:ext>
          </c:extLst>
        </c:ser>
        <c:ser>
          <c:idx val="2"/>
          <c:order val="2"/>
          <c:tx>
            <c:strRef>
              <c:f>'PC2.04_Ind4'!$B$12</c:f>
              <c:strCache>
                <c:ptCount val="1"/>
                <c:pt idx="0">
                  <c:v>Ciències Ambientals i Grau en Geologia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'PC2.04_Ind4'!$D$10:$H$10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'PC2.04_Ind4'!$D$12:$H$12</c:f>
              <c:numCache>
                <c:formatCode>General</c:formatCode>
                <c:ptCount val="5"/>
                <c:pt idx="0">
                  <c:v>0</c:v>
                </c:pt>
                <c:pt idx="1">
                  <c:v>3.01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B7-4CDF-B1E5-A5CDB1E605FB}"/>
            </c:ext>
          </c:extLst>
        </c:ser>
        <c:ser>
          <c:idx val="3"/>
          <c:order val="3"/>
          <c:tx>
            <c:strRef>
              <c:f>'PC2.04_Ind4'!$B$13</c:f>
              <c:strCache>
                <c:ptCount val="1"/>
                <c:pt idx="0">
                  <c:v>Estadística Aplicada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'PC2.04_Ind4'!$D$10:$H$10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'PC2.04_Ind4'!$D$13:$H$13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2.57</c:v>
                </c:pt>
                <c:pt idx="3">
                  <c:v>3.17</c:v>
                </c:pt>
                <c:pt idx="4">
                  <c:v>3.0950000000000002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B7-4CDF-B1E5-A5CDB1E605FB}"/>
            </c:ext>
          </c:extLst>
        </c:ser>
        <c:ser>
          <c:idx val="4"/>
          <c:order val="4"/>
          <c:tx>
            <c:strRef>
              <c:f>'PC2.04_Ind4'!$B$14</c:f>
              <c:strCache>
                <c:ptCount val="1"/>
                <c:pt idx="0">
                  <c:v>Física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'PC2.04_Ind4'!$D$10:$H$10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'PC2.04_Ind4'!$D$14:$H$14</c:f>
              <c:numCache>
                <c:formatCode>General</c:formatCode>
                <c:ptCount val="5"/>
                <c:pt idx="0">
                  <c:v>3.13</c:v>
                </c:pt>
                <c:pt idx="1">
                  <c:v>3.01</c:v>
                </c:pt>
                <c:pt idx="2">
                  <c:v>3.16</c:v>
                </c:pt>
                <c:pt idx="3">
                  <c:v>3.25</c:v>
                </c:pt>
                <c:pt idx="4">
                  <c:v>3.1749999999999998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B7-4CDF-B1E5-A5CDB1E605FB}"/>
            </c:ext>
          </c:extLst>
        </c:ser>
        <c:ser>
          <c:idx val="5"/>
          <c:order val="5"/>
          <c:tx>
            <c:strRef>
              <c:f>'PC2.04_Ind4'!$B$15</c:f>
              <c:strCache>
                <c:ptCount val="1"/>
                <c:pt idx="0">
                  <c:v>Física i Matemàtiques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'PC2.04_Ind4'!$D$10:$H$10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'PC2.04_Ind4'!$D$15:$H$15</c:f>
              <c:numCache>
                <c:formatCode>General</c:formatCode>
                <c:ptCount val="5"/>
                <c:pt idx="0">
                  <c:v>0</c:v>
                </c:pt>
                <c:pt idx="1">
                  <c:v>3.11</c:v>
                </c:pt>
                <c:pt idx="2">
                  <c:v>3.16</c:v>
                </c:pt>
                <c:pt idx="3">
                  <c:v>3.19</c:v>
                </c:pt>
                <c:pt idx="4">
                  <c:v>3.11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B7-4CDF-B1E5-A5CDB1E605FB}"/>
            </c:ext>
          </c:extLst>
        </c:ser>
        <c:ser>
          <c:idx val="6"/>
          <c:order val="6"/>
          <c:tx>
            <c:strRef>
              <c:f>'PC2.04_Ind4'!$B$16</c:f>
              <c:strCache>
                <c:ptCount val="1"/>
                <c:pt idx="0">
                  <c:v>Física i Química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'PC2.04_Ind4'!$D$10:$H$10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'PC2.04_Ind4'!$D$16:$H$16</c:f>
              <c:numCache>
                <c:formatCode>General</c:formatCode>
                <c:ptCount val="5"/>
                <c:pt idx="0">
                  <c:v>0</c:v>
                </c:pt>
                <c:pt idx="1">
                  <c:v>3.11</c:v>
                </c:pt>
                <c:pt idx="2">
                  <c:v>2.99</c:v>
                </c:pt>
                <c:pt idx="3">
                  <c:v>2.99</c:v>
                </c:pt>
                <c:pt idx="4">
                  <c:v>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B7-4CDF-B1E5-A5CDB1E605FB}"/>
            </c:ext>
          </c:extLst>
        </c:ser>
        <c:ser>
          <c:idx val="7"/>
          <c:order val="7"/>
          <c:tx>
            <c:strRef>
              <c:f>'PC2.04_Ind4'!$B$17</c:f>
              <c:strCache>
                <c:ptCount val="1"/>
                <c:pt idx="0">
                  <c:v>Geologia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'PC2.04_Ind4'!$D$10:$H$10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'PC2.04_Ind4'!$D$17:$H$17</c:f>
              <c:numCache>
                <c:formatCode>General</c:formatCode>
                <c:ptCount val="5"/>
                <c:pt idx="0">
                  <c:v>2.89</c:v>
                </c:pt>
                <c:pt idx="1">
                  <c:v>2.88</c:v>
                </c:pt>
                <c:pt idx="2">
                  <c:v>2.99</c:v>
                </c:pt>
                <c:pt idx="3">
                  <c:v>3.19</c:v>
                </c:pt>
                <c:pt idx="4">
                  <c:v>3.0550000000000002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EB7-4CDF-B1E5-A5CDB1E605FB}"/>
            </c:ext>
          </c:extLst>
        </c:ser>
        <c:ser>
          <c:idx val="8"/>
          <c:order val="8"/>
          <c:tx>
            <c:strRef>
              <c:f>'PC2.04_Ind4'!$B$18</c:f>
              <c:strCache>
                <c:ptCount val="1"/>
                <c:pt idx="0">
                  <c:v>Matemàtica Computacional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'PC2.04_Ind4'!$D$10:$H$10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'PC2.04_Ind4'!$D$18:$H$18</c:f>
              <c:numCache>
                <c:formatCode>General</c:formatCode>
                <c:ptCount val="5"/>
                <c:pt idx="0">
                  <c:v>3.22</c:v>
                </c:pt>
                <c:pt idx="1">
                  <c:v>3.36</c:v>
                </c:pt>
                <c:pt idx="2">
                  <c:v>3.13</c:v>
                </c:pt>
                <c:pt idx="3">
                  <c:v>3.22</c:v>
                </c:pt>
                <c:pt idx="4">
                  <c:v>3.0750000000000002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EB7-4CDF-B1E5-A5CDB1E605FB}"/>
            </c:ext>
          </c:extLst>
        </c:ser>
        <c:ser>
          <c:idx val="9"/>
          <c:order val="9"/>
          <c:tx>
            <c:strRef>
              <c:f>'PC2.04_Ind4'!$B$19</c:f>
              <c:strCache>
                <c:ptCount val="1"/>
                <c:pt idx="0">
                  <c:v>Matemàtiques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'PC2.04_Ind4'!$D$10:$H$10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'PC2.04_Ind4'!$D$19:$H$19</c:f>
              <c:numCache>
                <c:formatCode>General</c:formatCode>
                <c:ptCount val="5"/>
                <c:pt idx="0">
                  <c:v>3.22</c:v>
                </c:pt>
                <c:pt idx="1">
                  <c:v>3.26</c:v>
                </c:pt>
                <c:pt idx="2">
                  <c:v>3.3</c:v>
                </c:pt>
                <c:pt idx="3">
                  <c:v>3.26</c:v>
                </c:pt>
                <c:pt idx="4">
                  <c:v>3.36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EB7-4CDF-B1E5-A5CDB1E605FB}"/>
            </c:ext>
          </c:extLst>
        </c:ser>
        <c:ser>
          <c:idx val="10"/>
          <c:order val="10"/>
          <c:tx>
            <c:strRef>
              <c:f>'PC2.04_Ind4'!$B$20</c:f>
              <c:strCache>
                <c:ptCount val="1"/>
                <c:pt idx="0">
                  <c:v>Nanociència i Nanotecnologia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'PC2.04_Ind4'!$D$10:$H$10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'PC2.04_Ind4'!$D$20:$H$20</c:f>
              <c:numCache>
                <c:formatCode>General</c:formatCode>
                <c:ptCount val="5"/>
                <c:pt idx="0">
                  <c:v>3.12</c:v>
                </c:pt>
                <c:pt idx="1">
                  <c:v>3.1</c:v>
                </c:pt>
                <c:pt idx="2">
                  <c:v>3.07</c:v>
                </c:pt>
                <c:pt idx="3">
                  <c:v>3.28</c:v>
                </c:pt>
                <c:pt idx="4">
                  <c:v>3.26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EB7-4CDF-B1E5-A5CDB1E605FB}"/>
            </c:ext>
          </c:extLst>
        </c:ser>
        <c:ser>
          <c:idx val="11"/>
          <c:order val="11"/>
          <c:tx>
            <c:strRef>
              <c:f>'PC2.04_Ind4'!$B$21</c:f>
              <c:strCache>
                <c:ptCount val="1"/>
                <c:pt idx="0">
                  <c:v>Química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'PC2.04_Ind4'!$D$10:$H$10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'PC2.04_Ind4'!$D$21:$H$21</c:f>
              <c:numCache>
                <c:formatCode>General</c:formatCode>
                <c:ptCount val="5"/>
                <c:pt idx="0">
                  <c:v>3.11</c:v>
                </c:pt>
                <c:pt idx="1">
                  <c:v>3.15</c:v>
                </c:pt>
                <c:pt idx="2">
                  <c:v>3.08</c:v>
                </c:pt>
                <c:pt idx="3">
                  <c:v>3.22</c:v>
                </c:pt>
                <c:pt idx="4">
                  <c:v>3.1949999999999998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EB7-4CDF-B1E5-A5CDB1E605FB}"/>
            </c:ext>
          </c:extLst>
        </c:ser>
        <c:ser>
          <c:idx val="12"/>
          <c:order val="12"/>
          <c:tx>
            <c:strRef>
              <c:f>'PC2.04_Ind4'!$B$22</c:f>
              <c:strCache>
                <c:ptCount val="1"/>
                <c:pt idx="0">
                  <c:v>Estudis Interdisciplinaris en Sostenibilitat Ambiental, Econòmica i Social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'PC2.04_Ind4'!$D$10:$H$10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'PC2.04_Ind4'!$D$22:$H$22</c:f>
              <c:numCache>
                <c:formatCode>General</c:formatCode>
                <c:ptCount val="5"/>
                <c:pt idx="0">
                  <c:v>3.08</c:v>
                </c:pt>
                <c:pt idx="1">
                  <c:v>2.97</c:v>
                </c:pt>
                <c:pt idx="2">
                  <c:v>0</c:v>
                </c:pt>
                <c:pt idx="3">
                  <c:v>3.62</c:v>
                </c:pt>
                <c:pt idx="4">
                  <c:v>3.32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EB7-4CDF-B1E5-A5CDB1E605FB}"/>
            </c:ext>
          </c:extLst>
        </c:ser>
        <c:ser>
          <c:idx val="13"/>
          <c:order val="13"/>
          <c:tx>
            <c:strRef>
              <c:f>'PC2.04_Ind4'!$B$23</c:f>
              <c:strCache>
                <c:ptCount val="1"/>
                <c:pt idx="0">
                  <c:v>Física d'Altes Energies, Astrofísica i Cosmologia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'PC2.04_Ind4'!$D$10:$H$10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'PC2.04_Ind4'!$D$23:$H$23</c:f>
              <c:numCache>
                <c:formatCode>General</c:formatCode>
                <c:ptCount val="5"/>
                <c:pt idx="0">
                  <c:v>3</c:v>
                </c:pt>
                <c:pt idx="1">
                  <c:v>2.91</c:v>
                </c:pt>
                <c:pt idx="2">
                  <c:v>3.4</c:v>
                </c:pt>
                <c:pt idx="3">
                  <c:v>3.12</c:v>
                </c:pt>
                <c:pt idx="4">
                  <c:v>3.89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EB7-4CDF-B1E5-A5CDB1E605FB}"/>
            </c:ext>
          </c:extLst>
        </c:ser>
        <c:ser>
          <c:idx val="14"/>
          <c:order val="14"/>
          <c:tx>
            <c:strRef>
              <c:f>'PC2.04_Ind4'!$B$24</c:f>
              <c:strCache>
                <c:ptCount val="1"/>
                <c:pt idx="0">
                  <c:v>Història de la Ciència. Ciència, Història i Societat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'PC2.04_Ind4'!$D$10:$H$10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'PC2.04_Ind4'!$D$24:$H$24</c:f>
              <c:numCache>
                <c:formatCode>General</c:formatCode>
                <c:ptCount val="5"/>
                <c:pt idx="0">
                  <c:v>3.25</c:v>
                </c:pt>
                <c:pt idx="1">
                  <c:v>3.29</c:v>
                </c:pt>
                <c:pt idx="2">
                  <c:v>3.63</c:v>
                </c:pt>
                <c:pt idx="3">
                  <c:v>3.64</c:v>
                </c:pt>
                <c:pt idx="4">
                  <c:v>3.54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EB7-4CDF-B1E5-A5CDB1E605FB}"/>
            </c:ext>
          </c:extLst>
        </c:ser>
        <c:ser>
          <c:idx val="15"/>
          <c:order val="15"/>
          <c:tx>
            <c:strRef>
              <c:f>'PC2.04_Ind4'!$B$25</c:f>
              <c:strCache>
                <c:ptCount val="1"/>
                <c:pt idx="0">
                  <c:v>Modelització per a la Ciència i l'Enginyeria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'PC2.04_Ind4'!$D$10:$H$10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'PC2.04_Ind4'!$D$25:$H$25</c:f>
              <c:numCache>
                <c:formatCode>General</c:formatCode>
                <c:ptCount val="5"/>
                <c:pt idx="0">
                  <c:v>3.02</c:v>
                </c:pt>
                <c:pt idx="1">
                  <c:v>3.32</c:v>
                </c:pt>
                <c:pt idx="2">
                  <c:v>2.77</c:v>
                </c:pt>
                <c:pt idx="3">
                  <c:v>3.09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EB7-4CDF-B1E5-A5CDB1E605FB}"/>
            </c:ext>
          </c:extLst>
        </c:ser>
        <c:ser>
          <c:idx val="16"/>
          <c:order val="16"/>
          <c:tx>
            <c:strRef>
              <c:f>'PC2.04_Ind4'!$B$26</c:f>
              <c:strCache>
                <c:ptCount val="1"/>
                <c:pt idx="0">
                  <c:v>Nanociència i Nanotecnologia Avançades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'PC2.04_Ind4'!$D$10:$H$10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'PC2.04_Ind4'!$D$26:$H$26</c:f>
              <c:numCache>
                <c:formatCode>General</c:formatCode>
                <c:ptCount val="5"/>
                <c:pt idx="0">
                  <c:v>2.95</c:v>
                </c:pt>
                <c:pt idx="1">
                  <c:v>3.12</c:v>
                </c:pt>
                <c:pt idx="2">
                  <c:v>0</c:v>
                </c:pt>
                <c:pt idx="3">
                  <c:v>2.52</c:v>
                </c:pt>
                <c:pt idx="4">
                  <c:v>3.09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EB7-4CDF-B1E5-A5CDB1E605FB}"/>
            </c:ext>
          </c:extLst>
        </c:ser>
        <c:ser>
          <c:idx val="17"/>
          <c:order val="17"/>
          <c:tx>
            <c:strRef>
              <c:f>'PC2.04_Ind4'!$B$27</c:f>
              <c:strCache>
                <c:ptCount val="1"/>
                <c:pt idx="0">
                  <c:v>Paleobiologia i Registre Fòssil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'PC2.04_Ind4'!$D$10:$H$10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'PC2.04_Ind4'!$D$27:$H$27</c:f>
              <c:numCache>
                <c:formatCode>General</c:formatCode>
                <c:ptCount val="5"/>
                <c:pt idx="0">
                  <c:v>3.43</c:v>
                </c:pt>
                <c:pt idx="1">
                  <c:v>3.19</c:v>
                </c:pt>
                <c:pt idx="2">
                  <c:v>0</c:v>
                </c:pt>
                <c:pt idx="3">
                  <c:v>0</c:v>
                </c:pt>
                <c:pt idx="4">
                  <c:v>1.7549999999999999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EB7-4CDF-B1E5-A5CDB1E605FB}"/>
            </c:ext>
          </c:extLst>
        </c:ser>
        <c:ser>
          <c:idx val="18"/>
          <c:order val="18"/>
          <c:tx>
            <c:strRef>
              <c:f>'PC2.04_Ind4'!$B$28</c:f>
              <c:strCache>
                <c:ptCount val="1"/>
                <c:pt idx="0">
                  <c:v>Química Industrial i Introducció a la Recerca de la Química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'PC2.04_Ind4'!$D$10:$H$10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'PC2.04_Ind4'!$D$28:$H$28</c:f>
              <c:numCache>
                <c:formatCode>General</c:formatCode>
                <c:ptCount val="5"/>
                <c:pt idx="0">
                  <c:v>3.05</c:v>
                </c:pt>
                <c:pt idx="1">
                  <c:v>2.84</c:v>
                </c:pt>
                <c:pt idx="2">
                  <c:v>0</c:v>
                </c:pt>
                <c:pt idx="3">
                  <c:v>0</c:v>
                </c:pt>
                <c:pt idx="4">
                  <c:v>1.52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EB7-4CDF-B1E5-A5CDB1E60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63631296"/>
        <c:axId val="1818362032"/>
      </c:barChart>
      <c:lineChart>
        <c:grouping val="standard"/>
        <c:varyColors val="0"/>
        <c:ser>
          <c:idx val="19"/>
          <c:order val="19"/>
          <c:tx>
            <c:strRef>
              <c:f>'PC2.04_Ind4'!$B$32</c:f>
              <c:strCache>
                <c:ptCount val="1"/>
                <c:pt idx="0">
                  <c:v>Valor objectiu</c:v>
                </c:pt>
              </c:strCache>
            </c:strRef>
          </c:tx>
          <c:spPr>
            <a:ln w="34925" cap="rnd">
              <a:solidFill>
                <a:schemeClr val="accent2">
                  <a:lumMod val="8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>
                    <a:lumMod val="8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'PC2.04_Ind4'!$D$10:$G$10</c:f>
              <c:strCache>
                <c:ptCount val="4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</c:strCache>
            </c:strRef>
          </c:cat>
          <c:val>
            <c:numRef>
              <c:f>'PC2.04_Ind4'!$D$32:$G$32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EB7-4CDF-B1E5-A5CDB1E60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631296"/>
        <c:axId val="1818362032"/>
      </c:lineChart>
      <c:catAx>
        <c:axId val="206363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818362032"/>
        <c:crosses val="autoZero"/>
        <c:auto val="1"/>
        <c:lblAlgn val="ctr"/>
        <c:lblOffset val="100"/>
        <c:noMultiLvlLbl val="0"/>
      </c:catAx>
      <c:valAx>
        <c:axId val="1818362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06363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a-ES" sz="1000" b="1">
                <a:effectLst/>
              </a:rPr>
              <a:t>PC2.05_Ind01. Percentatge de propostes de modificació presentades a AQU que han obtingut l’avaluació favorable desglossades per curs acadèmic, per grau i màster.</a:t>
            </a:r>
            <a:endParaRPr lang="ca-ES" sz="1000">
              <a:effectLst/>
            </a:endParaRPr>
          </a:p>
        </c:rich>
      </c:tx>
      <c:layout>
        <c:manualLayout>
          <c:xMode val="edge"/>
          <c:yMode val="edge"/>
          <c:x val="0.102097112860892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'PC2.05_Ind01'!$B$32</c:f>
              <c:strCache>
                <c:ptCount val="1"/>
                <c:pt idx="0">
                  <c:v>9. Gràfic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'PC2.05_Ind01'!$D$11:$H$11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'PC2.05_Ind01'!$C$32:$E$32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653D-450C-8E0B-7200DF52EBB2}"/>
            </c:ext>
          </c:extLst>
        </c:ser>
        <c:ser>
          <c:idx val="1"/>
          <c:order val="1"/>
          <c:tx>
            <c:strRef>
              <c:f>'PC2.05_Ind01'!$B$29</c:f>
              <c:strCache>
                <c:ptCount val="1"/>
                <c:pt idx="0">
                  <c:v>% Compliment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solidFill>
                <a:schemeClr val="accent6">
                  <a:lumMod val="75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53D-450C-8E0B-7200DF52EBB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653D-450C-8E0B-7200DF52EBB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53D-450C-8E0B-7200DF52EBB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653D-450C-8E0B-7200DF52EBB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AA22-4D1D-A26E-E46DC9179C6D}"/>
              </c:ext>
            </c:extLst>
          </c:dPt>
          <c:cat>
            <c:strRef>
              <c:f>'PC2.05_Ind01'!$D$11:$H$11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'PC2.05_Ind01'!$D$29:$H$29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3D-450C-8E0B-7200DF52E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01452992"/>
        <c:axId val="1203431264"/>
      </c:barChart>
      <c:lineChart>
        <c:grouping val="standard"/>
        <c:varyColors val="0"/>
        <c:ser>
          <c:idx val="2"/>
          <c:order val="2"/>
          <c:tx>
            <c:strRef>
              <c:f>'PC2.05_Ind01'!$B$30</c:f>
              <c:strCache>
                <c:ptCount val="1"/>
                <c:pt idx="0">
                  <c:v>Valor Objectiu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'PC2.05_Ind01'!$D$11:$G$11</c:f>
              <c:strCache>
                <c:ptCount val="4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</c:strCache>
            </c:strRef>
          </c:cat>
          <c:val>
            <c:numRef>
              <c:f>'PC2.05_Ind01'!$D$30:$H$30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3D-450C-8E0B-7200DF52E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1452992"/>
        <c:axId val="1203431264"/>
      </c:lineChart>
      <c:catAx>
        <c:axId val="120145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03431264"/>
        <c:crosses val="autoZero"/>
        <c:auto val="1"/>
        <c:lblAlgn val="ctr"/>
        <c:lblOffset val="100"/>
        <c:noMultiLvlLbl val="0"/>
      </c:catAx>
      <c:valAx>
        <c:axId val="120343126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01452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a-ES" sz="1600" b="1" i="0" u="none" strike="noStrike" baseline="0">
                <a:effectLst/>
              </a:rPr>
              <a:t>PC3.01_Ind01 Ràtio de sol.licituds en 1a preferència per l'oferta</a:t>
            </a:r>
            <a:endParaRPr lang="ca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'PC3.01_Ind01'!$B$11</c:f>
              <c:strCache>
                <c:ptCount val="1"/>
                <c:pt idx="0">
                  <c:v>Curs acadèmic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'PC3.01_Ind01'!$C$11:$F$11</c:f>
              <c:strCache>
                <c:ptCount val="4"/>
                <c:pt idx="0">
                  <c:v>2019/20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'PC3.01_Ind01'!$C$11:$F$11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C5-40D2-82EC-61D31F0C9236}"/>
            </c:ext>
          </c:extLst>
        </c:ser>
        <c:ser>
          <c:idx val="2"/>
          <c:order val="2"/>
          <c:tx>
            <c:strRef>
              <c:f>'PC3.01_Ind01'!$B$13</c:f>
              <c:strCache>
                <c:ptCount val="1"/>
                <c:pt idx="0">
                  <c:v>Grau en Física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'PC3.01_Ind01'!$C$11:$F$11</c:f>
              <c:strCache>
                <c:ptCount val="4"/>
                <c:pt idx="0">
                  <c:v>2019/20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'PC3.01_Ind01'!$C$13:$F$13</c:f>
              <c:numCache>
                <c:formatCode>General</c:formatCode>
                <c:ptCount val="4"/>
                <c:pt idx="0">
                  <c:v>2.1</c:v>
                </c:pt>
                <c:pt idx="1">
                  <c:v>2.4</c:v>
                </c:pt>
                <c:pt idx="2">
                  <c:v>2.2000000000000002</c:v>
                </c:pt>
                <c:pt idx="3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C5-40D2-82EC-61D31F0C9236}"/>
            </c:ext>
          </c:extLst>
        </c:ser>
        <c:ser>
          <c:idx val="3"/>
          <c:order val="3"/>
          <c:tx>
            <c:strRef>
              <c:f>'PC3.01_Ind01'!$B$14</c:f>
              <c:strCache>
                <c:ptCount val="1"/>
                <c:pt idx="0">
                  <c:v>Grau en Matemàtiques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'PC3.01_Ind01'!$C$11:$F$11</c:f>
              <c:strCache>
                <c:ptCount val="4"/>
                <c:pt idx="0">
                  <c:v>2019/20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'PC3.01_Ind01'!$C$14:$F$14</c:f>
              <c:numCache>
                <c:formatCode>General</c:formatCode>
                <c:ptCount val="4"/>
                <c:pt idx="0">
                  <c:v>1.2</c:v>
                </c:pt>
                <c:pt idx="1">
                  <c:v>2</c:v>
                </c:pt>
                <c:pt idx="2">
                  <c:v>1.7</c:v>
                </c:pt>
                <c:pt idx="3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C5-40D2-82EC-61D31F0C9236}"/>
            </c:ext>
          </c:extLst>
        </c:ser>
        <c:ser>
          <c:idx val="4"/>
          <c:order val="4"/>
          <c:tx>
            <c:strRef>
              <c:f>'PC3.01_Ind01'!$B$15</c:f>
              <c:strCache>
                <c:ptCount val="1"/>
                <c:pt idx="0">
                  <c:v>Grau en Física i Matemàtiques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'PC3.01_Ind01'!$C$11:$F$11</c:f>
              <c:strCache>
                <c:ptCount val="4"/>
                <c:pt idx="0">
                  <c:v>2019/20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'PC3.01_Ind01'!$C$15:$F$15</c:f>
              <c:numCache>
                <c:formatCode>General</c:formatCode>
                <c:ptCount val="4"/>
                <c:pt idx="0">
                  <c:v>4</c:v>
                </c:pt>
                <c:pt idx="1">
                  <c:v>5</c:v>
                </c:pt>
                <c:pt idx="2">
                  <c:v>5.2</c:v>
                </c:pt>
                <c:pt idx="3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C5-40D2-82EC-61D31F0C9236}"/>
            </c:ext>
          </c:extLst>
        </c:ser>
        <c:ser>
          <c:idx val="5"/>
          <c:order val="5"/>
          <c:tx>
            <c:strRef>
              <c:f>'PC3.01_Ind01'!$B$16</c:f>
              <c:strCache>
                <c:ptCount val="1"/>
                <c:pt idx="0">
                  <c:v>Grau en Ciències Ambientals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'PC3.01_Ind01'!$C$11:$F$11</c:f>
              <c:strCache>
                <c:ptCount val="4"/>
                <c:pt idx="0">
                  <c:v>2019/20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'PC3.01_Ind01'!$C$16:$F$16</c:f>
              <c:numCache>
                <c:formatCode>General</c:formatCode>
                <c:ptCount val="4"/>
                <c:pt idx="0">
                  <c:v>1</c:v>
                </c:pt>
                <c:pt idx="1">
                  <c:v>0.9</c:v>
                </c:pt>
                <c:pt idx="2">
                  <c:v>0.8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C5-40D2-82EC-61D31F0C9236}"/>
            </c:ext>
          </c:extLst>
        </c:ser>
        <c:ser>
          <c:idx val="6"/>
          <c:order val="6"/>
          <c:tx>
            <c:strRef>
              <c:f>'PC3.01_Ind01'!$B$17</c:f>
              <c:strCache>
                <c:ptCount val="1"/>
                <c:pt idx="0">
                  <c:v>Grau en Geologia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'PC3.01_Ind01'!$C$11:$F$11</c:f>
              <c:strCache>
                <c:ptCount val="4"/>
                <c:pt idx="0">
                  <c:v>2019/20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'PC3.01_Ind01'!$C$17:$F$17</c:f>
              <c:numCache>
                <c:formatCode>General</c:formatCode>
                <c:ptCount val="4"/>
                <c:pt idx="0">
                  <c:v>0.4</c:v>
                </c:pt>
                <c:pt idx="1">
                  <c:v>0.5</c:v>
                </c:pt>
                <c:pt idx="2">
                  <c:v>0.5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C5-40D2-82EC-61D31F0C9236}"/>
            </c:ext>
          </c:extLst>
        </c:ser>
        <c:ser>
          <c:idx val="7"/>
          <c:order val="7"/>
          <c:tx>
            <c:strRef>
              <c:f>'PC3.01_Ind01'!$B$18</c:f>
              <c:strCache>
                <c:ptCount val="1"/>
                <c:pt idx="0">
                  <c:v>Grau en Nanociència i Nanotecnologia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'PC3.01_Ind01'!$C$11:$F$11</c:f>
              <c:strCache>
                <c:ptCount val="4"/>
                <c:pt idx="0">
                  <c:v>2019/20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'PC3.01_Ind01'!$C$18:$F$18</c:f>
              <c:numCache>
                <c:formatCode>General</c:formatCode>
                <c:ptCount val="4"/>
                <c:pt idx="0">
                  <c:v>1.1000000000000001</c:v>
                </c:pt>
                <c:pt idx="1">
                  <c:v>1.1000000000000001</c:v>
                </c:pt>
                <c:pt idx="2">
                  <c:v>1.2</c:v>
                </c:pt>
                <c:pt idx="3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5C5-40D2-82EC-61D31F0C9236}"/>
            </c:ext>
          </c:extLst>
        </c:ser>
        <c:ser>
          <c:idx val="8"/>
          <c:order val="8"/>
          <c:tx>
            <c:strRef>
              <c:f>'PC3.01_Ind01'!$B$19</c:f>
              <c:strCache>
                <c:ptCount val="1"/>
                <c:pt idx="0">
                  <c:v>Grau en Química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'PC3.01_Ind01'!$C$11:$F$11</c:f>
              <c:strCache>
                <c:ptCount val="4"/>
                <c:pt idx="0">
                  <c:v>2019/20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'PC3.01_Ind01'!$C$19:$F$19</c:f>
              <c:numCache>
                <c:formatCode>General</c:formatCode>
                <c:ptCount val="4"/>
                <c:pt idx="0">
                  <c:v>1.1000000000000001</c:v>
                </c:pt>
                <c:pt idx="1">
                  <c:v>0.9</c:v>
                </c:pt>
                <c:pt idx="2">
                  <c:v>1.1000000000000001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5C5-40D2-82EC-61D31F0C9236}"/>
            </c:ext>
          </c:extLst>
        </c:ser>
        <c:ser>
          <c:idx val="9"/>
          <c:order val="9"/>
          <c:tx>
            <c:strRef>
              <c:f>'PC3.01_Ind01'!$B$20</c:f>
              <c:strCache>
                <c:ptCount val="1"/>
                <c:pt idx="0">
                  <c:v>Grau en Física i Química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'PC3.01_Ind01'!$C$11:$F$11</c:f>
              <c:strCache>
                <c:ptCount val="4"/>
                <c:pt idx="0">
                  <c:v>2019/20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'PC3.01_Ind01'!$C$20:$F$20</c:f>
              <c:numCache>
                <c:formatCode>General</c:formatCode>
                <c:ptCount val="4"/>
                <c:pt idx="0">
                  <c:v>1.9</c:v>
                </c:pt>
                <c:pt idx="1">
                  <c:v>1.9</c:v>
                </c:pt>
                <c:pt idx="2">
                  <c:v>2</c:v>
                </c:pt>
                <c:pt idx="3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5C5-40D2-82EC-61D31F0C9236}"/>
            </c:ext>
          </c:extLst>
        </c:ser>
        <c:ser>
          <c:idx val="10"/>
          <c:order val="10"/>
          <c:tx>
            <c:strRef>
              <c:f>'PC3.01_Ind01'!$B$21</c:f>
              <c:strCache>
                <c:ptCount val="1"/>
                <c:pt idx="0">
                  <c:v>Grau en Ciències Ambientals / Geologia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'PC3.01_Ind01'!$C$11:$F$11</c:f>
              <c:strCache>
                <c:ptCount val="4"/>
                <c:pt idx="0">
                  <c:v>2019/20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'PC3.01_Ind01'!$C$21:$F$21</c:f>
              <c:numCache>
                <c:formatCode>General</c:formatCode>
                <c:ptCount val="4"/>
                <c:pt idx="0">
                  <c:v>1</c:v>
                </c:pt>
                <c:pt idx="1">
                  <c:v>1.2</c:v>
                </c:pt>
                <c:pt idx="2">
                  <c:v>0.8</c:v>
                </c:pt>
                <c:pt idx="3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5C5-40D2-82EC-61D31F0C9236}"/>
            </c:ext>
          </c:extLst>
        </c:ser>
        <c:ser>
          <c:idx val="11"/>
          <c:order val="11"/>
          <c:tx>
            <c:strRef>
              <c:f>'PC3.01_Ind01'!$B$22</c:f>
              <c:strCache>
                <c:ptCount val="1"/>
                <c:pt idx="0">
                  <c:v>Grau en Matemàtica Computacional i Analítica de Dades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'PC3.01_Ind01'!$C$11:$F$11</c:f>
              <c:strCache>
                <c:ptCount val="4"/>
                <c:pt idx="0">
                  <c:v>2019/20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'PC3.01_Ind01'!$C$22:$F$22</c:f>
              <c:numCache>
                <c:formatCode>General</c:formatCode>
                <c:ptCount val="4"/>
                <c:pt idx="0">
                  <c:v>1.3</c:v>
                </c:pt>
                <c:pt idx="1">
                  <c:v>1.4</c:v>
                </c:pt>
                <c:pt idx="2">
                  <c:v>1.3</c:v>
                </c:pt>
                <c:pt idx="3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5C5-40D2-82EC-61D31F0C9236}"/>
            </c:ext>
          </c:extLst>
        </c:ser>
        <c:ser>
          <c:idx val="12"/>
          <c:order val="12"/>
          <c:tx>
            <c:strRef>
              <c:f>'PC3.01_Ind01'!$B$23</c:f>
              <c:strCache>
                <c:ptCount val="1"/>
                <c:pt idx="0">
                  <c:v>Grau en Estadística Aplicada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'PC3.01_Ind01'!$C$11:$F$11</c:f>
              <c:strCache>
                <c:ptCount val="4"/>
                <c:pt idx="0">
                  <c:v>2019/20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'PC3.01_Ind01'!$C$23:$F$23</c:f>
              <c:numCache>
                <c:formatCode>General</c:formatCode>
                <c:ptCount val="4"/>
                <c:pt idx="0">
                  <c:v>0.8</c:v>
                </c:pt>
                <c:pt idx="1">
                  <c:v>1.6</c:v>
                </c:pt>
                <c:pt idx="2">
                  <c:v>1.1000000000000001</c:v>
                </c:pt>
                <c:pt idx="3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5C5-40D2-82EC-61D31F0C9236}"/>
            </c:ext>
          </c:extLst>
        </c:ser>
        <c:ser>
          <c:idx val="13"/>
          <c:order val="13"/>
          <c:tx>
            <c:strRef>
              <c:f>'PC3.01_Ind01'!$B$24</c:f>
              <c:strCache>
                <c:ptCount val="1"/>
                <c:pt idx="0">
                  <c:v>Valor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'PC3.01_Ind01'!$C$11:$F$11</c:f>
              <c:strCache>
                <c:ptCount val="4"/>
                <c:pt idx="0">
                  <c:v>2019/20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'PC3.01_Ind01'!$C$24:$F$24</c:f>
              <c:numCache>
                <c:formatCode>General</c:formatCode>
                <c:ptCount val="4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5C5-40D2-82EC-61D31F0C9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667821664"/>
        <c:axId val="11998463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'PC3.01_Ind01'!$C$11:$F$11</c15:sqref>
                        </c15:formulaRef>
                      </c:ext>
                    </c:extLst>
                    <c:strCache>
                      <c:ptCount val="4"/>
                      <c:pt idx="0">
                        <c:v>2019/20</c:v>
                      </c:pt>
                      <c:pt idx="1">
                        <c:v>2020/2021</c:v>
                      </c:pt>
                      <c:pt idx="2">
                        <c:v>2021/2022</c:v>
                      </c:pt>
                      <c:pt idx="3">
                        <c:v>2022/2023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'PC3.01_Ind01'!$B$11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5C5-40D2-82EC-61D31F0C9236}"/>
                  </c:ext>
                </c:extLst>
              </c15:ser>
            </c15:filteredBarSeries>
          </c:ext>
        </c:extLst>
      </c:barChart>
      <c:catAx>
        <c:axId val="166782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199846336"/>
        <c:crosses val="autoZero"/>
        <c:auto val="1"/>
        <c:lblAlgn val="ctr"/>
        <c:lblOffset val="100"/>
        <c:noMultiLvlLbl val="0"/>
      </c:catAx>
      <c:valAx>
        <c:axId val="119984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667821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a-ES"/>
              <a:t>PC3.01_Ind02. Percentatge d’homes i dones matriculats per curs acadèmic i titulació (dones)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6.0416885389326332E-2"/>
          <c:y val="0.29189596092155146"/>
          <c:w val="0.89513867016622917"/>
          <c:h val="0.629492927967337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'PC3.01_Ind02.'!$B$11</c:f>
              <c:strCache>
                <c:ptCount val="1"/>
                <c:pt idx="0">
                  <c:v>Titulació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'PC3.01_Ind02.'!$C$11:$G$11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'PC3.01_Ind02.'!$C$11:$G$11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30-4E6A-9137-9FF7E25CF89A}"/>
            </c:ext>
          </c:extLst>
        </c:ser>
        <c:ser>
          <c:idx val="1"/>
          <c:order val="1"/>
          <c:tx>
            <c:strRef>
              <c:f>'PC3.01_Ind02.'!$B$13</c:f>
              <c:strCache>
                <c:ptCount val="1"/>
                <c:pt idx="0">
                  <c:v>Ciències Ambientals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'PC3.01_Ind02.'!$C$11:$G$11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'PC3.01_Ind02.'!$C$13:$G$13</c:f>
              <c:numCache>
                <c:formatCode>0%</c:formatCode>
                <c:ptCount val="5"/>
                <c:pt idx="0">
                  <c:v>0.52</c:v>
                </c:pt>
                <c:pt idx="1">
                  <c:v>0.52</c:v>
                </c:pt>
                <c:pt idx="2">
                  <c:v>0.6</c:v>
                </c:pt>
                <c:pt idx="3">
                  <c:v>0.59</c:v>
                </c:pt>
                <c:pt idx="4">
                  <c:v>0.56999999999999995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30-4E6A-9137-9FF7E25CF89A}"/>
            </c:ext>
          </c:extLst>
        </c:ser>
        <c:ser>
          <c:idx val="2"/>
          <c:order val="2"/>
          <c:tx>
            <c:strRef>
              <c:f>'PC3.01_Ind02.'!$B$14</c:f>
              <c:strCache>
                <c:ptCount val="1"/>
                <c:pt idx="0">
                  <c:v>CCAA i Geologia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'PC3.01_Ind02.'!$C$11:$G$11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'PC3.01_Ind02.'!$C$14:$G$14</c:f>
              <c:numCache>
                <c:formatCode>0%</c:formatCode>
                <c:ptCount val="5"/>
                <c:pt idx="0">
                  <c:v>0.45</c:v>
                </c:pt>
                <c:pt idx="1">
                  <c:v>0.42</c:v>
                </c:pt>
                <c:pt idx="2">
                  <c:v>0.71</c:v>
                </c:pt>
                <c:pt idx="3">
                  <c:v>0.52</c:v>
                </c:pt>
                <c:pt idx="4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30-4E6A-9137-9FF7E25CF89A}"/>
            </c:ext>
          </c:extLst>
        </c:ser>
        <c:ser>
          <c:idx val="3"/>
          <c:order val="3"/>
          <c:tx>
            <c:strRef>
              <c:f>'PC3.01_Ind02.'!$B$15</c:f>
              <c:strCache>
                <c:ptCount val="1"/>
                <c:pt idx="0">
                  <c:v>Estadística Aplicada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'PC3.01_Ind02.'!$C$11:$G$11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'PC3.01_Ind02.'!$C$15:$G$15</c:f>
              <c:numCache>
                <c:formatCode>0%</c:formatCode>
                <c:ptCount val="5"/>
                <c:pt idx="0">
                  <c:v>0.51</c:v>
                </c:pt>
                <c:pt idx="1">
                  <c:v>0.51</c:v>
                </c:pt>
                <c:pt idx="2">
                  <c:v>0.32</c:v>
                </c:pt>
                <c:pt idx="3">
                  <c:v>0.49</c:v>
                </c:pt>
                <c:pt idx="4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30-4E6A-9137-9FF7E25CF89A}"/>
            </c:ext>
          </c:extLst>
        </c:ser>
        <c:ser>
          <c:idx val="4"/>
          <c:order val="4"/>
          <c:tx>
            <c:strRef>
              <c:f>'PC3.01_Ind02.'!$B$16</c:f>
              <c:strCache>
                <c:ptCount val="1"/>
                <c:pt idx="0">
                  <c:v>Física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'PC3.01_Ind02.'!$C$11:$G$11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'PC3.01_Ind02.'!$C$16:$G$16</c:f>
              <c:numCache>
                <c:formatCode>0%</c:formatCode>
                <c:ptCount val="5"/>
                <c:pt idx="0">
                  <c:v>0.17</c:v>
                </c:pt>
                <c:pt idx="1">
                  <c:v>0.17</c:v>
                </c:pt>
                <c:pt idx="2">
                  <c:v>0.26</c:v>
                </c:pt>
                <c:pt idx="3">
                  <c:v>0.28999999999999998</c:v>
                </c:pt>
                <c:pt idx="4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30-4E6A-9137-9FF7E25CF89A}"/>
            </c:ext>
          </c:extLst>
        </c:ser>
        <c:ser>
          <c:idx val="5"/>
          <c:order val="5"/>
          <c:tx>
            <c:strRef>
              <c:f>'PC3.01_Ind02.'!$B$17</c:f>
              <c:strCache>
                <c:ptCount val="1"/>
                <c:pt idx="0">
                  <c:v>Física i Matemàtiques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'PC3.01_Ind02.'!$C$11:$G$11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'PC3.01_Ind02.'!$C$17:$G$17</c:f>
              <c:numCache>
                <c:formatCode>0%</c:formatCode>
                <c:ptCount val="5"/>
                <c:pt idx="0">
                  <c:v>0.27</c:v>
                </c:pt>
                <c:pt idx="1">
                  <c:v>0.27</c:v>
                </c:pt>
                <c:pt idx="2">
                  <c:v>0.35</c:v>
                </c:pt>
                <c:pt idx="3">
                  <c:v>0.42</c:v>
                </c:pt>
                <c:pt idx="4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E30-4E6A-9137-9FF7E25CF89A}"/>
            </c:ext>
          </c:extLst>
        </c:ser>
        <c:ser>
          <c:idx val="6"/>
          <c:order val="6"/>
          <c:tx>
            <c:strRef>
              <c:f>'PC3.01_Ind02.'!$B$18</c:f>
              <c:strCache>
                <c:ptCount val="1"/>
                <c:pt idx="0">
                  <c:v>Física i Química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'PC3.01_Ind02.'!$C$11:$G$11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'PC3.01_Ind02.'!$C$18:$G$18</c:f>
              <c:numCache>
                <c:formatCode>0%</c:formatCode>
                <c:ptCount val="5"/>
                <c:pt idx="0">
                  <c:v>0.27</c:v>
                </c:pt>
                <c:pt idx="1">
                  <c:v>0.27</c:v>
                </c:pt>
                <c:pt idx="2">
                  <c:v>0.28999999999999998</c:v>
                </c:pt>
                <c:pt idx="3">
                  <c:v>0.5</c:v>
                </c:pt>
                <c:pt idx="4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E30-4E6A-9137-9FF7E25CF89A}"/>
            </c:ext>
          </c:extLst>
        </c:ser>
        <c:ser>
          <c:idx val="7"/>
          <c:order val="7"/>
          <c:tx>
            <c:strRef>
              <c:f>'PC3.01_Ind02.'!$B$19</c:f>
              <c:strCache>
                <c:ptCount val="1"/>
                <c:pt idx="0">
                  <c:v>Geologia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'PC3.01_Ind02.'!$C$11:$G$11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'PC3.01_Ind02.'!$C$19:$G$19</c:f>
              <c:numCache>
                <c:formatCode>0%</c:formatCode>
                <c:ptCount val="5"/>
                <c:pt idx="0">
                  <c:v>0.46</c:v>
                </c:pt>
                <c:pt idx="1">
                  <c:v>0.46</c:v>
                </c:pt>
                <c:pt idx="2">
                  <c:v>0.48</c:v>
                </c:pt>
                <c:pt idx="3">
                  <c:v>0.33</c:v>
                </c:pt>
                <c:pt idx="4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E30-4E6A-9137-9FF7E25CF89A}"/>
            </c:ext>
          </c:extLst>
        </c:ser>
        <c:ser>
          <c:idx val="8"/>
          <c:order val="8"/>
          <c:tx>
            <c:strRef>
              <c:f>'PC3.01_Ind02.'!$B$20</c:f>
              <c:strCache>
                <c:ptCount val="1"/>
                <c:pt idx="0">
                  <c:v>Matemàtica Computacional i Analítica de Dades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'PC3.01_Ind02.'!$C$11:$G$11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'PC3.01_Ind02.'!$C$20:$G$20</c:f>
              <c:numCache>
                <c:formatCode>0%</c:formatCode>
                <c:ptCount val="5"/>
                <c:pt idx="0">
                  <c:v>0.36</c:v>
                </c:pt>
                <c:pt idx="1">
                  <c:v>0.36</c:v>
                </c:pt>
                <c:pt idx="2">
                  <c:v>0.47</c:v>
                </c:pt>
                <c:pt idx="3">
                  <c:v>0.49</c:v>
                </c:pt>
                <c:pt idx="4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E30-4E6A-9137-9FF7E25CF89A}"/>
            </c:ext>
          </c:extLst>
        </c:ser>
        <c:ser>
          <c:idx val="9"/>
          <c:order val="9"/>
          <c:tx>
            <c:strRef>
              <c:f>'PC3.01_Ind02.'!$B$21</c:f>
              <c:strCache>
                <c:ptCount val="1"/>
                <c:pt idx="0">
                  <c:v>Matemàtiques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'PC3.01_Ind02.'!$C$11:$G$11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'PC3.01_Ind02.'!$C$21:$G$21</c:f>
              <c:numCache>
                <c:formatCode>0%</c:formatCode>
                <c:ptCount val="5"/>
                <c:pt idx="0">
                  <c:v>0.42</c:v>
                </c:pt>
                <c:pt idx="1">
                  <c:v>0.42</c:v>
                </c:pt>
                <c:pt idx="2">
                  <c:v>0.33</c:v>
                </c:pt>
                <c:pt idx="3">
                  <c:v>0.41</c:v>
                </c:pt>
                <c:pt idx="4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E30-4E6A-9137-9FF7E25CF89A}"/>
            </c:ext>
          </c:extLst>
        </c:ser>
        <c:ser>
          <c:idx val="10"/>
          <c:order val="10"/>
          <c:tx>
            <c:strRef>
              <c:f>'PC3.01_Ind02.'!$B$22</c:f>
              <c:strCache>
                <c:ptCount val="1"/>
                <c:pt idx="0">
                  <c:v>Nanociència i Nanotecnologia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'PC3.01_Ind02.'!$C$11:$G$11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'PC3.01_Ind02.'!$C$22:$G$22</c:f>
              <c:numCache>
                <c:formatCode>0%</c:formatCode>
                <c:ptCount val="5"/>
                <c:pt idx="0">
                  <c:v>0.38</c:v>
                </c:pt>
                <c:pt idx="1">
                  <c:v>0.38</c:v>
                </c:pt>
                <c:pt idx="2">
                  <c:v>0.41</c:v>
                </c:pt>
                <c:pt idx="3">
                  <c:v>0.28999999999999998</c:v>
                </c:pt>
                <c:pt idx="4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E30-4E6A-9137-9FF7E25CF89A}"/>
            </c:ext>
          </c:extLst>
        </c:ser>
        <c:ser>
          <c:idx val="11"/>
          <c:order val="11"/>
          <c:tx>
            <c:strRef>
              <c:f>'PC3.01_Ind02.'!$B$23</c:f>
              <c:strCache>
                <c:ptCount val="1"/>
                <c:pt idx="0">
                  <c:v>Química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'PC3.01_Ind02.'!$C$11:$G$11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'PC3.01_Ind02.'!$C$23:$G$23</c:f>
              <c:numCache>
                <c:formatCode>0%</c:formatCode>
                <c:ptCount val="5"/>
                <c:pt idx="0">
                  <c:v>0.49</c:v>
                </c:pt>
                <c:pt idx="1">
                  <c:v>0.49</c:v>
                </c:pt>
                <c:pt idx="2">
                  <c:v>0.33</c:v>
                </c:pt>
                <c:pt idx="3">
                  <c:v>0.39</c:v>
                </c:pt>
                <c:pt idx="4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E30-4E6A-9137-9FF7E25CF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66149728"/>
        <c:axId val="1265518800"/>
      </c:barChart>
      <c:lineChart>
        <c:grouping val="standard"/>
        <c:varyColors val="0"/>
        <c:ser>
          <c:idx val="12"/>
          <c:order val="12"/>
          <c:tx>
            <c:strRef>
              <c:f>'PC3.01_Ind02.'!$B$26</c:f>
              <c:strCache>
                <c:ptCount val="1"/>
                <c:pt idx="0">
                  <c:v>Valor objectiu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>
                    <a:lumMod val="80000"/>
                    <a:lumOff val="2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'PC3.01_Ind02.'!$C$11:$G$11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'PC3.01_Ind02.'!$C$26:$G$26</c:f>
              <c:numCache>
                <c:formatCode>0%</c:formatCode>
                <c:ptCount val="5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E30-4E6A-9137-9FF7E25CF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149728"/>
        <c:axId val="1265518800"/>
      </c:lineChart>
      <c:catAx>
        <c:axId val="8661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65518800"/>
        <c:crosses val="autoZero"/>
        <c:auto val="1"/>
        <c:lblAlgn val="ctr"/>
        <c:lblOffset val="100"/>
        <c:noMultiLvlLbl val="0"/>
      </c:catAx>
      <c:valAx>
        <c:axId val="126551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661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39483479319279"/>
          <c:y val="0.15834615149850451"/>
          <c:w val="0.88605165206807213"/>
          <c:h val="0.337777879509247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'PC3.01_Ind03'!$B$26</c:f>
              <c:strCache>
                <c:ptCount val="1"/>
                <c:pt idx="0">
                  <c:v>9. Gràfic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'PC3.01_Ind03'!$C$12:$G$12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'PC3.01_Ind03'!$C$26:$E$26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312C-4187-B741-41A311C33EC8}"/>
            </c:ext>
          </c:extLst>
        </c:ser>
        <c:ser>
          <c:idx val="1"/>
          <c:order val="1"/>
          <c:tx>
            <c:strRef>
              <c:f>'PC3.01_Ind03'!$B$12</c:f>
              <c:strCache>
                <c:ptCount val="1"/>
                <c:pt idx="0">
                  <c:v>Màsters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'PC3.01_Ind03'!$C$12:$G$12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'PC3.01_Ind03'!$C$12:$G$12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2C-4187-B741-41A311C33EC8}"/>
            </c:ext>
          </c:extLst>
        </c:ser>
        <c:ser>
          <c:idx val="2"/>
          <c:order val="2"/>
          <c:tx>
            <c:strRef>
              <c:f>'PC3.01_Ind03'!$B$13</c:f>
              <c:strCache>
                <c:ptCount val="1"/>
                <c:pt idx="0">
                  <c:v>Estudis Interdisciplinaris en Sostenibilitat Ambiental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'PC3.01_Ind03'!$C$12:$G$12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'PC3.01_Ind03'!$C$13:$G$13</c:f>
              <c:numCache>
                <c:formatCode>0%</c:formatCode>
                <c:ptCount val="5"/>
                <c:pt idx="0">
                  <c:v>0.61</c:v>
                </c:pt>
                <c:pt idx="1">
                  <c:v>0.75</c:v>
                </c:pt>
                <c:pt idx="2" formatCode="0.00%">
                  <c:v>0.5</c:v>
                </c:pt>
                <c:pt idx="3">
                  <c:v>0.64</c:v>
                </c:pt>
                <c:pt idx="4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2C-4187-B741-41A311C33EC8}"/>
            </c:ext>
          </c:extLst>
        </c:ser>
        <c:ser>
          <c:idx val="3"/>
          <c:order val="3"/>
          <c:tx>
            <c:strRef>
              <c:f>'PC3.01_Ind03'!$B$14</c:f>
              <c:strCache>
                <c:ptCount val="1"/>
                <c:pt idx="0">
                  <c:v>Física d’Altes Energies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'PC3.01_Ind03'!$C$12:$G$12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'PC3.01_Ind03'!$C$14:$G$14</c:f>
              <c:numCache>
                <c:formatCode>0%</c:formatCode>
                <c:ptCount val="5"/>
                <c:pt idx="0">
                  <c:v>0.05</c:v>
                </c:pt>
                <c:pt idx="1">
                  <c:v>0.28999999999999998</c:v>
                </c:pt>
                <c:pt idx="2" formatCode="0.00%">
                  <c:v>0.125</c:v>
                </c:pt>
                <c:pt idx="3">
                  <c:v>0.19</c:v>
                </c:pt>
                <c:pt idx="4" formatCode="0.00%">
                  <c:v>0.1153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2C-4187-B741-41A311C33EC8}"/>
            </c:ext>
          </c:extLst>
        </c:ser>
        <c:ser>
          <c:idx val="4"/>
          <c:order val="4"/>
          <c:tx>
            <c:strRef>
              <c:f>'PC3.01_Ind03'!$B$15</c:f>
              <c:strCache>
                <c:ptCount val="1"/>
                <c:pt idx="0">
                  <c:v>Història de la Ciència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'PC3.01_Ind03'!$C$12:$G$12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'PC3.01_Ind03'!$C$15:$G$15</c:f>
              <c:numCache>
                <c:formatCode>0%</c:formatCode>
                <c:ptCount val="5"/>
                <c:pt idx="0">
                  <c:v>0.53</c:v>
                </c:pt>
                <c:pt idx="1">
                  <c:v>0.27</c:v>
                </c:pt>
                <c:pt idx="2" formatCode="0.00%">
                  <c:v>0</c:v>
                </c:pt>
                <c:pt idx="3">
                  <c:v>0.14000000000000001</c:v>
                </c:pt>
                <c:pt idx="4" formatCode="0.00%">
                  <c:v>0.22220000000000001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2C-4187-B741-41A311C33EC8}"/>
            </c:ext>
          </c:extLst>
        </c:ser>
        <c:ser>
          <c:idx val="5"/>
          <c:order val="5"/>
          <c:tx>
            <c:strRef>
              <c:f>'PC3.01_Ind03'!$B$16</c:f>
              <c:strCache>
                <c:ptCount val="1"/>
                <c:pt idx="0">
                  <c:v>Modelització per a la Ciència i l’Enginyeria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'PC3.01_Ind03'!$C$12:$G$12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'PC3.01_Ind03'!$C$16:$G$16</c:f>
              <c:numCache>
                <c:formatCode>0%</c:formatCode>
                <c:ptCount val="5"/>
                <c:pt idx="0">
                  <c:v>0.26</c:v>
                </c:pt>
                <c:pt idx="1">
                  <c:v>0.28000000000000003</c:v>
                </c:pt>
                <c:pt idx="2" formatCode="0.00%">
                  <c:v>0.16700000000000001</c:v>
                </c:pt>
                <c:pt idx="3">
                  <c:v>0.14000000000000001</c:v>
                </c:pt>
                <c:pt idx="4" formatCode="0.00%">
                  <c:v>0.14280000000000001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12C-4187-B741-41A311C33EC8}"/>
            </c:ext>
          </c:extLst>
        </c:ser>
        <c:ser>
          <c:idx val="6"/>
          <c:order val="6"/>
          <c:tx>
            <c:strRef>
              <c:f>'PC3.01_Ind03'!$B$17</c:f>
              <c:strCache>
                <c:ptCount val="1"/>
                <c:pt idx="0">
                  <c:v>Paleobiologia i Registre Fòssil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'PC3.01_Ind03'!$C$12:$G$12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'PC3.01_Ind03'!$C$17:$G$17</c:f>
              <c:numCache>
                <c:formatCode>0%</c:formatCode>
                <c:ptCount val="5"/>
                <c:pt idx="0">
                  <c:v>0.2</c:v>
                </c:pt>
                <c:pt idx="1">
                  <c:v>0.38</c:v>
                </c:pt>
                <c:pt idx="2" formatCode="0.00%">
                  <c:v>0</c:v>
                </c:pt>
                <c:pt idx="3">
                  <c:v>0</c:v>
                </c:pt>
                <c:pt idx="4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2C-4187-B741-41A311C33EC8}"/>
            </c:ext>
          </c:extLst>
        </c:ser>
        <c:ser>
          <c:idx val="7"/>
          <c:order val="7"/>
          <c:tx>
            <c:strRef>
              <c:f>'PC3.01_Ind03'!$B$18</c:f>
              <c:strCache>
                <c:ptCount val="1"/>
                <c:pt idx="0">
                  <c:v>Nanociència i Nanotecnologia Avançades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'PC3.01_Ind03'!$C$12:$G$12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'PC3.01_Ind03'!$C$18:$G$18</c:f>
              <c:numCache>
                <c:formatCode>0%</c:formatCode>
                <c:ptCount val="5"/>
                <c:pt idx="0">
                  <c:v>0.19</c:v>
                </c:pt>
                <c:pt idx="1">
                  <c:v>0.05</c:v>
                </c:pt>
                <c:pt idx="2" formatCode="0.00%">
                  <c:v>0.14299999999999999</c:v>
                </c:pt>
                <c:pt idx="3">
                  <c:v>0.15</c:v>
                </c:pt>
                <c:pt idx="4" formatCode="0.00%">
                  <c:v>8.3299999999999999E-2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12C-4187-B741-41A311C33EC8}"/>
            </c:ext>
          </c:extLst>
        </c:ser>
        <c:ser>
          <c:idx val="8"/>
          <c:order val="8"/>
          <c:tx>
            <c:strRef>
              <c:f>'PC3.01_Ind03'!$B$19</c:f>
              <c:strCache>
                <c:ptCount val="1"/>
                <c:pt idx="0">
                  <c:v>Química Industrial i Introducció a la Recerca Química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'PC3.01_Ind03'!$C$12:$G$12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'PC3.01_Ind03'!$C$19:$G$19</c:f>
              <c:numCache>
                <c:formatCode>0%</c:formatCode>
                <c:ptCount val="5"/>
                <c:pt idx="0">
                  <c:v>0.13</c:v>
                </c:pt>
                <c:pt idx="1">
                  <c:v>0.09</c:v>
                </c:pt>
                <c:pt idx="2" formatCode="0.00%">
                  <c:v>8.1000000000000003E-2</c:v>
                </c:pt>
                <c:pt idx="3">
                  <c:v>0.22</c:v>
                </c:pt>
                <c:pt idx="4" formatCode="0.00%">
                  <c:v>0.10249999999999999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12C-4187-B741-41A311C33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790408176"/>
        <c:axId val="1265516880"/>
      </c:barChart>
      <c:lineChart>
        <c:grouping val="standard"/>
        <c:varyColors val="0"/>
        <c:ser>
          <c:idx val="9"/>
          <c:order val="9"/>
          <c:tx>
            <c:strRef>
              <c:f>'PC3.01_Ind03'!$B$20</c:f>
              <c:strCache>
                <c:ptCount val="1"/>
                <c:pt idx="0">
                  <c:v>Objectiu</c:v>
                </c:pt>
              </c:strCache>
            </c:strRef>
          </c:tx>
          <c:spPr>
            <a:ln w="34925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4">
                    <a:lumMod val="6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val>
            <c:numRef>
              <c:f>'PC3.01_Ind03'!$C$20:$G$20</c:f>
              <c:numCache>
                <c:formatCode>0%</c:formatCode>
                <c:ptCount val="5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12C-4187-B741-41A311C33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0408176"/>
        <c:axId val="1265516880"/>
      </c:lineChart>
      <c:catAx>
        <c:axId val="179040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65516880"/>
        <c:crosses val="autoZero"/>
        <c:auto val="1"/>
        <c:lblAlgn val="ctr"/>
        <c:lblOffset val="100"/>
        <c:noMultiLvlLbl val="0"/>
      </c:catAx>
      <c:valAx>
        <c:axId val="12655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790408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a-ES" sz="1800" b="1">
                <a:effectLst/>
              </a:rPr>
              <a:t>PC3.01_Ind04. Taxa de rendiment de nou accés per Grau </a:t>
            </a:r>
            <a:endParaRPr lang="ca-ES" sz="18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0.25660502754679854"/>
          <c:y val="0.18347578347578347"/>
          <c:w val="0.72295362667810714"/>
          <c:h val="0.48243780424882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'PC3.01_Ind04 '!$H$4</c:f>
              <c:strCache>
                <c:ptCount val="1"/>
                <c:pt idx="0">
                  <c:v>Taxa de rendiment de nou accés per Grau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'PC3.01_Ind04 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'PC3.01_Ind04 '!$I$4:$J$4</c:f>
              <c:numCache>
                <c:formatCode>General</c:formatCode>
                <c:ptCount val="2"/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19FD-4284-B281-30C66932DF65}"/>
            </c:ext>
          </c:extLst>
        </c:ser>
        <c:ser>
          <c:idx val="1"/>
          <c:order val="1"/>
          <c:tx>
            <c:strRef>
              <c:f>'PC3.01_Ind04 '!$B$13:$C$13</c:f>
              <c:strCache>
                <c:ptCount val="2"/>
                <c:pt idx="0">
                  <c:v>Ciències Ambientals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'PC3.01_Ind04 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'PC3.01_Ind04 '!$D$13:$I$13</c:f>
              <c:numCache>
                <c:formatCode>0%</c:formatCode>
                <c:ptCount val="6"/>
                <c:pt idx="0">
                  <c:v>0.84</c:v>
                </c:pt>
                <c:pt idx="1">
                  <c:v>0.8</c:v>
                </c:pt>
                <c:pt idx="2">
                  <c:v>0.95</c:v>
                </c:pt>
                <c:pt idx="3">
                  <c:v>0.8</c:v>
                </c:pt>
                <c:pt idx="4">
                  <c:v>0.86909999999999998</c:v>
                </c:pt>
                <c:pt idx="5">
                  <c:v>0.85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19FD-4284-B281-30C66932DF65}"/>
            </c:ext>
          </c:extLst>
        </c:ser>
        <c:ser>
          <c:idx val="2"/>
          <c:order val="2"/>
          <c:tx>
            <c:strRef>
              <c:f>'PC3.01_Ind04 '!$B$14:$C$14</c:f>
              <c:strCache>
                <c:ptCount val="2"/>
                <c:pt idx="0">
                  <c:v>Ciències Ambientals i Grau en Geologia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'PC3.01_Ind04 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'PC3.01_Ind04 '!$D$14:$I$14</c:f>
              <c:numCache>
                <c:formatCode>0%</c:formatCode>
                <c:ptCount val="6"/>
                <c:pt idx="0">
                  <c:v>0.84</c:v>
                </c:pt>
                <c:pt idx="1">
                  <c:v>0.92</c:v>
                </c:pt>
                <c:pt idx="2">
                  <c:v>0.94</c:v>
                </c:pt>
                <c:pt idx="3">
                  <c:v>0.83</c:v>
                </c:pt>
                <c:pt idx="4">
                  <c:v>0.9</c:v>
                </c:pt>
                <c:pt idx="5">
                  <c:v>0.87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19FD-4284-B281-30C66932DF65}"/>
            </c:ext>
          </c:extLst>
        </c:ser>
        <c:ser>
          <c:idx val="3"/>
          <c:order val="3"/>
          <c:tx>
            <c:strRef>
              <c:f>'PC3.01_Ind04 '!$B$15:$C$15</c:f>
              <c:strCache>
                <c:ptCount val="2"/>
                <c:pt idx="0">
                  <c:v>Estadística Aplicada  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'PC3.01_Ind04 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'PC3.01_Ind04 '!$D$15:$I$15</c:f>
              <c:numCache>
                <c:formatCode>0%</c:formatCode>
                <c:ptCount val="6"/>
                <c:pt idx="0">
                  <c:v>0.62</c:v>
                </c:pt>
                <c:pt idx="1">
                  <c:v>0.7</c:v>
                </c:pt>
                <c:pt idx="2">
                  <c:v>0.66</c:v>
                </c:pt>
                <c:pt idx="3">
                  <c:v>0.69</c:v>
                </c:pt>
                <c:pt idx="4">
                  <c:v>0.67849999999999999</c:v>
                </c:pt>
                <c:pt idx="5">
                  <c:v>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FD-4284-B281-30C66932DF65}"/>
            </c:ext>
          </c:extLst>
        </c:ser>
        <c:ser>
          <c:idx val="4"/>
          <c:order val="4"/>
          <c:tx>
            <c:strRef>
              <c:f>'PC3.01_Ind04 '!$B$16:$C$16</c:f>
              <c:strCache>
                <c:ptCount val="2"/>
                <c:pt idx="0">
                  <c:v>Física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'PC3.01_Ind04 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'PC3.01_Ind04 '!$D$16:$I$16</c:f>
              <c:numCache>
                <c:formatCode>0%</c:formatCode>
                <c:ptCount val="6"/>
                <c:pt idx="0">
                  <c:v>0.82</c:v>
                </c:pt>
                <c:pt idx="1">
                  <c:v>0.94</c:v>
                </c:pt>
                <c:pt idx="2">
                  <c:v>0.87</c:v>
                </c:pt>
                <c:pt idx="3">
                  <c:v>0.88</c:v>
                </c:pt>
                <c:pt idx="4">
                  <c:v>0.86529999999999996</c:v>
                </c:pt>
                <c:pt idx="5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FD-4284-B281-30C66932DF65}"/>
            </c:ext>
          </c:extLst>
        </c:ser>
        <c:ser>
          <c:idx val="5"/>
          <c:order val="5"/>
          <c:tx>
            <c:strRef>
              <c:f>'PC3.01_Ind04 '!$B$17:$C$17</c:f>
              <c:strCache>
                <c:ptCount val="2"/>
                <c:pt idx="0">
                  <c:v>Física i Matemàtiques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'PC3.01_Ind04 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'PC3.01_Ind04 '!$D$17:$I$17</c:f>
              <c:numCache>
                <c:formatCode>0%</c:formatCode>
                <c:ptCount val="6"/>
                <c:pt idx="0">
                  <c:v>0.99</c:v>
                </c:pt>
                <c:pt idx="1">
                  <c:v>0.89</c:v>
                </c:pt>
                <c:pt idx="2">
                  <c:v>0.96</c:v>
                </c:pt>
                <c:pt idx="3">
                  <c:v>0.91</c:v>
                </c:pt>
                <c:pt idx="4">
                  <c:v>0.86</c:v>
                </c:pt>
                <c:pt idx="5">
                  <c:v>0.9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19FD-4284-B281-30C66932DF65}"/>
            </c:ext>
          </c:extLst>
        </c:ser>
        <c:ser>
          <c:idx val="6"/>
          <c:order val="6"/>
          <c:tx>
            <c:strRef>
              <c:f>'PC3.01_Ind04 '!$B$18:$C$18</c:f>
              <c:strCache>
                <c:ptCount val="2"/>
                <c:pt idx="0">
                  <c:v>Física i Química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'PC3.01_Ind04 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'PC3.01_Ind04 '!$D$18:$I$18</c:f>
              <c:numCache>
                <c:formatCode>0%</c:formatCode>
                <c:ptCount val="6"/>
                <c:pt idx="0">
                  <c:v>0.96</c:v>
                </c:pt>
                <c:pt idx="1">
                  <c:v>0.85</c:v>
                </c:pt>
                <c:pt idx="2">
                  <c:v>1</c:v>
                </c:pt>
                <c:pt idx="3">
                  <c:v>0.92</c:v>
                </c:pt>
                <c:pt idx="4">
                  <c:v>0.93</c:v>
                </c:pt>
                <c:pt idx="5">
                  <c:v>0.87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19FD-4284-B281-30C66932DF65}"/>
            </c:ext>
          </c:extLst>
        </c:ser>
        <c:ser>
          <c:idx val="7"/>
          <c:order val="7"/>
          <c:tx>
            <c:strRef>
              <c:f>'PC3.01_Ind04 '!$B$19:$C$19</c:f>
              <c:strCache>
                <c:ptCount val="2"/>
                <c:pt idx="0">
                  <c:v>Geologia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'PC3.01_Ind04 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'PC3.01_Ind04 '!$D$19:$I$19</c:f>
              <c:numCache>
                <c:formatCode>0%</c:formatCode>
                <c:ptCount val="6"/>
                <c:pt idx="0">
                  <c:v>0.49</c:v>
                </c:pt>
                <c:pt idx="1">
                  <c:v>0.49</c:v>
                </c:pt>
                <c:pt idx="2">
                  <c:v>0.54</c:v>
                </c:pt>
                <c:pt idx="3">
                  <c:v>0.44</c:v>
                </c:pt>
                <c:pt idx="4">
                  <c:v>0.69310000000000005</c:v>
                </c:pt>
                <c:pt idx="5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FD-4284-B281-30C66932DF65}"/>
            </c:ext>
          </c:extLst>
        </c:ser>
        <c:ser>
          <c:idx val="8"/>
          <c:order val="8"/>
          <c:tx>
            <c:strRef>
              <c:f>'PC3.01_Ind04 '!$B$20:$C$20</c:f>
              <c:strCache>
                <c:ptCount val="2"/>
                <c:pt idx="0">
                  <c:v>Matemàtica Computacional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'PC3.01_Ind04 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'PC3.01_Ind04 '!$D$20:$I$20</c:f>
              <c:numCache>
                <c:formatCode>0%</c:formatCode>
                <c:ptCount val="6"/>
                <c:pt idx="0" formatCode="General">
                  <c:v>0</c:v>
                </c:pt>
                <c:pt idx="1">
                  <c:v>0.7</c:v>
                </c:pt>
                <c:pt idx="2">
                  <c:v>0.86</c:v>
                </c:pt>
                <c:pt idx="3">
                  <c:v>0.88</c:v>
                </c:pt>
                <c:pt idx="4">
                  <c:v>0.88939999999999997</c:v>
                </c:pt>
                <c:pt idx="5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FD-4284-B281-30C66932DF65}"/>
            </c:ext>
          </c:extLst>
        </c:ser>
        <c:ser>
          <c:idx val="9"/>
          <c:order val="9"/>
          <c:tx>
            <c:strRef>
              <c:f>'PC3.01_Ind04 '!$B$21:$C$21</c:f>
              <c:strCache>
                <c:ptCount val="2"/>
                <c:pt idx="0">
                  <c:v>Matemàtiques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'PC3.01_Ind04 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'PC3.01_Ind04 '!$D$21:$I$21</c:f>
              <c:numCache>
                <c:formatCode>0%</c:formatCode>
                <c:ptCount val="6"/>
                <c:pt idx="0">
                  <c:v>0.66</c:v>
                </c:pt>
                <c:pt idx="1">
                  <c:v>0.8</c:v>
                </c:pt>
                <c:pt idx="2">
                  <c:v>0.74</c:v>
                </c:pt>
                <c:pt idx="3">
                  <c:v>0.78</c:v>
                </c:pt>
                <c:pt idx="4">
                  <c:v>0.73199999999999998</c:v>
                </c:pt>
                <c:pt idx="5">
                  <c:v>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FD-4284-B281-30C66932DF65}"/>
            </c:ext>
          </c:extLst>
        </c:ser>
        <c:ser>
          <c:idx val="10"/>
          <c:order val="10"/>
          <c:tx>
            <c:strRef>
              <c:f>'PC3.01_Ind04 '!$B$23:$C$23</c:f>
              <c:strCache>
                <c:ptCount val="2"/>
                <c:pt idx="0">
                  <c:v>Química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'PC3.01_Ind04 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'PC3.01_Ind04 '!$D$23:$I$23</c:f>
              <c:numCache>
                <c:formatCode>0%</c:formatCode>
                <c:ptCount val="6"/>
                <c:pt idx="0">
                  <c:v>0.68</c:v>
                </c:pt>
                <c:pt idx="1">
                  <c:v>0.72</c:v>
                </c:pt>
                <c:pt idx="2">
                  <c:v>0.78</c:v>
                </c:pt>
                <c:pt idx="3">
                  <c:v>0.77</c:v>
                </c:pt>
                <c:pt idx="4">
                  <c:v>0.80940000000000001</c:v>
                </c:pt>
                <c:pt idx="5">
                  <c:v>0.72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B-19FD-4284-B281-30C66932D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05902191"/>
        <c:axId val="1905885551"/>
      </c:barChart>
      <c:lineChart>
        <c:grouping val="standard"/>
        <c:varyColors val="0"/>
        <c:ser>
          <c:idx val="11"/>
          <c:order val="11"/>
          <c:tx>
            <c:strRef>
              <c:f>'PC3.01_Ind04 '!$D$12</c:f>
              <c:strCache>
                <c:ptCount val="1"/>
                <c:pt idx="0">
                  <c:v>2017/2018</c:v>
                </c:pt>
              </c:strCache>
            </c:strRef>
          </c:tx>
          <c:spPr>
            <a:ln w="34925" cap="rnd">
              <a:solidFill>
                <a:schemeClr val="accent6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'PC3.01_Ind04 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'PC3.01_Ind04 '!$D$26:$H$26</c:f>
              <c:numCache>
                <c:formatCode>0%</c:formatCode>
                <c:ptCount val="5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FD-4284-B281-30C66932DF65}"/>
            </c:ext>
          </c:extLst>
        </c:ser>
        <c:ser>
          <c:idx val="12"/>
          <c:order val="12"/>
          <c:tx>
            <c:strRef>
              <c:f>'PC3.01_Ind04 '!$B$26:$C$26</c:f>
              <c:strCache>
                <c:ptCount val="2"/>
                <c:pt idx="0">
                  <c:v>Valor objectiu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>
                    <a:lumMod val="80000"/>
                    <a:lumOff val="2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val>
            <c:numRef>
              <c:f>'PC3.01_Ind04 '!$D$26:$I$26</c:f>
              <c:numCache>
                <c:formatCode>0%</c:formatCode>
                <c:ptCount val="6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9FD-4284-B281-30C66932D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902191"/>
        <c:axId val="1905885551"/>
      </c:lineChart>
      <c:catAx>
        <c:axId val="1905902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905885551"/>
        <c:crosses val="autoZero"/>
        <c:auto val="1"/>
        <c:lblAlgn val="ctr"/>
        <c:lblOffset val="100"/>
        <c:noMultiLvlLbl val="0"/>
      </c:catAx>
      <c:valAx>
        <c:axId val="1905885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905902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0522186395808569E-3"/>
          <c:y val="0.75514301096978276"/>
          <c:w val="0.99394778136041917"/>
          <c:h val="0.22776297193620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660502754679854"/>
          <c:y val="0.18347578347578347"/>
          <c:w val="0.72295362667810714"/>
          <c:h val="0.48243780424882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'PC3.01_Ind05'!$C$12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'PC3.01_Ind05'!$D$12:$H$12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'PC3.01_Ind05'!$D$12:$G$12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D6A-4015-ADC6-7C76D0866AD1}"/>
            </c:ext>
          </c:extLst>
        </c:ser>
        <c:ser>
          <c:idx val="3"/>
          <c:order val="2"/>
          <c:tx>
            <c:strRef>
              <c:f>'PC3.01_Ind05'!#REF!</c:f>
              <c:strCache>
                <c:ptCount val="1"/>
                <c:pt idx="0">
                  <c:v>#¡REF!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'PC3.01_Ind05'!$D$12:$H$12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'PC3.01_Ind05'!$D$16:$H$16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 formatCode="0.00">
                  <c:v>0</c:v>
                </c:pt>
                <c:pt idx="3" formatCode="0.00">
                  <c:v>34.482758620689658</c:v>
                </c:pt>
                <c:pt idx="4" formatCode="0.00">
                  <c:v>-1.2820512820512819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D6A-4015-ADC6-7C76D0866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05902191"/>
        <c:axId val="1905885551"/>
      </c:barChart>
      <c:lineChart>
        <c:grouping val="standard"/>
        <c:varyColors val="0"/>
        <c:ser>
          <c:idx val="2"/>
          <c:order val="1"/>
          <c:tx>
            <c:strRef>
              <c:f>'PC3.01_Ind05'!$B$15</c:f>
              <c:strCache>
                <c:ptCount val="1"/>
                <c:pt idx="0">
                  <c:v>Valor objectiu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'PC3.01_Ind05'!$D$12:$H$12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'PC3.01_Ind05'!$D$15:$H$15</c:f>
              <c:numCache>
                <c:formatCode>0%</c:formatCode>
                <c:ptCount val="5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D6A-4015-ADC6-7C76D0866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902191"/>
        <c:axId val="1905885551"/>
      </c:lineChart>
      <c:catAx>
        <c:axId val="1905902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905885551"/>
        <c:crosses val="autoZero"/>
        <c:auto val="1"/>
        <c:lblAlgn val="ctr"/>
        <c:lblOffset val="100"/>
        <c:noMultiLvlLbl val="0"/>
      </c:catAx>
      <c:valAx>
        <c:axId val="190588555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9059021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a-ES" sz="1000" b="1" i="0" u="none" strike="noStrike" baseline="0">
                <a:effectLst/>
              </a:rPr>
              <a:t>PC3.02_Ind01. Valoració mitjana a l’afirmació “La tutorització ha estat útil i ha contribuït a millorar el meu aprenentatge” per titulació</a:t>
            </a:r>
            <a:endParaRPr lang="ca-ES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'PC3.02_Ind01'!$B$30</c:f>
              <c:strCache>
                <c:ptCount val="1"/>
                <c:pt idx="0">
                  <c:v>9. Gràfic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'PC3.02_Ind01'!$D$12:$H$12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'PC3.02_Ind01'!$C$30:$E$30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45AA-4851-A903-566BB9231BEE}"/>
            </c:ext>
          </c:extLst>
        </c:ser>
        <c:ser>
          <c:idx val="1"/>
          <c:order val="1"/>
          <c:tx>
            <c:strRef>
              <c:f>'PC3.02_Ind01'!$B$13</c:f>
              <c:strCache>
                <c:ptCount val="1"/>
                <c:pt idx="0">
                  <c:v>Ciències Ambientals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'PC3.02_Ind01'!$D$12:$H$12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'PC3.02_Ind01'!$D$13:$H$13</c:f>
              <c:numCache>
                <c:formatCode>General</c:formatCode>
                <c:ptCount val="5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3.4</c:v>
                </c:pt>
                <c:pt idx="4">
                  <c:v>2.69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AA-4851-A903-566BB9231BEE}"/>
            </c:ext>
          </c:extLst>
        </c:ser>
        <c:ser>
          <c:idx val="2"/>
          <c:order val="2"/>
          <c:tx>
            <c:strRef>
              <c:f>'PC3.02_Ind01'!$B$14</c:f>
              <c:strCache>
                <c:ptCount val="1"/>
                <c:pt idx="0">
                  <c:v>Ciències Ambientals i Grau en Geologia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'PC3.02_Ind01'!$D$12:$H$12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'PC3.02_Ind01'!$D$14:$H$14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2.6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AA-4851-A903-566BB9231BEE}"/>
            </c:ext>
          </c:extLst>
        </c:ser>
        <c:ser>
          <c:idx val="3"/>
          <c:order val="3"/>
          <c:tx>
            <c:strRef>
              <c:f>'PC3.02_Ind01'!$B$15</c:f>
              <c:strCache>
                <c:ptCount val="1"/>
                <c:pt idx="0">
                  <c:v>Estadística Aplicada  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'PC3.02_Ind01'!$D$12:$H$12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'PC3.02_Ind01'!$D$15:$H$15</c:f>
              <c:numCache>
                <c:formatCode>General</c:formatCode>
                <c:ptCount val="5"/>
                <c:pt idx="0">
                  <c:v>0</c:v>
                </c:pt>
                <c:pt idx="1">
                  <c:v>3.8</c:v>
                </c:pt>
                <c:pt idx="2">
                  <c:v>3.5</c:v>
                </c:pt>
                <c:pt idx="3">
                  <c:v>3</c:v>
                </c:pt>
                <c:pt idx="4">
                  <c:v>2.83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AA-4851-A903-566BB9231BEE}"/>
            </c:ext>
          </c:extLst>
        </c:ser>
        <c:ser>
          <c:idx val="4"/>
          <c:order val="4"/>
          <c:tx>
            <c:strRef>
              <c:f>'PC3.02_Ind01'!$B$16</c:f>
              <c:strCache>
                <c:ptCount val="1"/>
                <c:pt idx="0">
                  <c:v>Física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'PC3.02_Ind01'!$D$12:$H$12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'PC3.02_Ind01'!$D$16:$H$16</c:f>
              <c:numCache>
                <c:formatCode>General</c:formatCode>
                <c:ptCount val="5"/>
                <c:pt idx="0">
                  <c:v>1.89</c:v>
                </c:pt>
                <c:pt idx="1">
                  <c:v>2.4300000000000002</c:v>
                </c:pt>
                <c:pt idx="2">
                  <c:v>2.62</c:v>
                </c:pt>
                <c:pt idx="3">
                  <c:v>2.5</c:v>
                </c:pt>
                <c:pt idx="4">
                  <c:v>2.68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AA-4851-A903-566BB9231BEE}"/>
            </c:ext>
          </c:extLst>
        </c:ser>
        <c:ser>
          <c:idx val="5"/>
          <c:order val="5"/>
          <c:tx>
            <c:strRef>
              <c:f>'PC3.02_Ind01'!$B$17</c:f>
              <c:strCache>
                <c:ptCount val="1"/>
                <c:pt idx="0">
                  <c:v>Física i Matemàtiques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'PC3.02_Ind01'!$D$12:$H$12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'PC3.02_Ind01'!$D$17:$H$17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2.89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AA-4851-A903-566BB9231BEE}"/>
            </c:ext>
          </c:extLst>
        </c:ser>
        <c:ser>
          <c:idx val="6"/>
          <c:order val="6"/>
          <c:tx>
            <c:strRef>
              <c:f>'PC3.02_Ind01'!$B$18</c:f>
              <c:strCache>
                <c:ptCount val="1"/>
                <c:pt idx="0">
                  <c:v>Física i Química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'PC3.02_Ind01'!$D$12:$H$12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'PC3.02_Ind01'!$D$18:$H$18</c:f>
              <c:numCache>
                <c:formatCode>General</c:formatCode>
                <c:ptCount val="5"/>
                <c:pt idx="0">
                  <c:v>2.5</c:v>
                </c:pt>
                <c:pt idx="1">
                  <c:v>3.29</c:v>
                </c:pt>
                <c:pt idx="2">
                  <c:v>0</c:v>
                </c:pt>
                <c:pt idx="3">
                  <c:v>3.5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AA-4851-A903-566BB9231BEE}"/>
            </c:ext>
          </c:extLst>
        </c:ser>
        <c:ser>
          <c:idx val="7"/>
          <c:order val="7"/>
          <c:tx>
            <c:strRef>
              <c:f>'PC3.02_Ind01'!$B$19</c:f>
              <c:strCache>
                <c:ptCount val="1"/>
                <c:pt idx="0">
                  <c:v>Geologia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'PC3.02_Ind01'!$D$12:$H$12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'PC3.02_Ind01'!$D$19:$H$19</c:f>
              <c:numCache>
                <c:formatCode>General</c:formatCode>
                <c:ptCount val="5"/>
                <c:pt idx="0">
                  <c:v>3.6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5AA-4851-A903-566BB9231BEE}"/>
            </c:ext>
          </c:extLst>
        </c:ser>
        <c:ser>
          <c:idx val="8"/>
          <c:order val="8"/>
          <c:tx>
            <c:strRef>
              <c:f>'PC3.02_Ind01'!$B$20</c:f>
              <c:strCache>
                <c:ptCount val="1"/>
                <c:pt idx="0">
                  <c:v>Matemàtica Computacional I Analítica de Dades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'PC3.02_Ind01'!$D$12:$H$12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'PC3.02_Ind01'!$D$20:$H$20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AA-4851-A903-566BB9231BEE}"/>
            </c:ext>
          </c:extLst>
        </c:ser>
        <c:ser>
          <c:idx val="9"/>
          <c:order val="9"/>
          <c:tx>
            <c:strRef>
              <c:f>'PC3.02_Ind01'!$B$21</c:f>
              <c:strCache>
                <c:ptCount val="1"/>
                <c:pt idx="0">
                  <c:v>Matemàtiques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'PC3.02_Ind01'!$D$12:$H$12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'PC3.02_Ind01'!$D$21:$H$21</c:f>
              <c:numCache>
                <c:formatCode>General</c:formatCode>
                <c:ptCount val="5"/>
                <c:pt idx="0">
                  <c:v>3.3</c:v>
                </c:pt>
                <c:pt idx="1">
                  <c:v>3.07</c:v>
                </c:pt>
                <c:pt idx="2">
                  <c:v>3.09</c:v>
                </c:pt>
                <c:pt idx="3">
                  <c:v>2.4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5AA-4851-A903-566BB9231BEE}"/>
            </c:ext>
          </c:extLst>
        </c:ser>
        <c:ser>
          <c:idx val="10"/>
          <c:order val="10"/>
          <c:tx>
            <c:strRef>
              <c:f>'PC3.02_Ind01'!$B$22</c:f>
              <c:strCache>
                <c:ptCount val="1"/>
                <c:pt idx="0">
                  <c:v>Nanociència i Nanotecnologia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'PC3.02_Ind01'!$D$12:$H$12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'PC3.02_Ind01'!$D$22:$H$22</c:f>
              <c:numCache>
                <c:formatCode>General</c:formatCode>
                <c:ptCount val="5"/>
                <c:pt idx="0">
                  <c:v>2.82</c:v>
                </c:pt>
                <c:pt idx="1">
                  <c:v>2.56</c:v>
                </c:pt>
                <c:pt idx="2">
                  <c:v>3.4</c:v>
                </c:pt>
                <c:pt idx="3">
                  <c:v>1.5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5AA-4851-A903-566BB9231BEE}"/>
            </c:ext>
          </c:extLst>
        </c:ser>
        <c:ser>
          <c:idx val="11"/>
          <c:order val="11"/>
          <c:tx>
            <c:strRef>
              <c:f>'PC3.02_Ind01'!$B$22</c:f>
              <c:strCache>
                <c:ptCount val="1"/>
                <c:pt idx="0">
                  <c:v>Nanociència i Nanotecnologia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'PC3.02_Ind01'!$D$12:$H$12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'PC3.02_Ind01'!$D$23:$H$23</c:f>
              <c:numCache>
                <c:formatCode>General</c:formatCode>
                <c:ptCount val="5"/>
                <c:pt idx="0">
                  <c:v>3.23</c:v>
                </c:pt>
                <c:pt idx="1">
                  <c:v>3</c:v>
                </c:pt>
                <c:pt idx="2">
                  <c:v>3.25</c:v>
                </c:pt>
                <c:pt idx="3">
                  <c:v>3.75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5AA-4851-A903-566BB9231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95523824"/>
        <c:axId val="1349652096"/>
      </c:barChart>
      <c:lineChart>
        <c:grouping val="standard"/>
        <c:varyColors val="0"/>
        <c:ser>
          <c:idx val="12"/>
          <c:order val="12"/>
          <c:tx>
            <c:strRef>
              <c:f>'PC3.02_Ind01'!$B$26</c:f>
              <c:strCache>
                <c:ptCount val="1"/>
                <c:pt idx="0">
                  <c:v>Valor objectiu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>
                    <a:lumMod val="80000"/>
                    <a:lumOff val="2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'PC3.02_Ind01'!$D$12:$H$12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'PC3.02_Ind01'!$D$26:$H$26</c:f>
              <c:numCache>
                <c:formatCode>0.00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5AA-4851-A903-566BB9231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5523824"/>
        <c:axId val="1349652096"/>
      </c:lineChart>
      <c:catAx>
        <c:axId val="179552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49652096"/>
        <c:crosses val="autoZero"/>
        <c:auto val="1"/>
        <c:lblAlgn val="ctr"/>
        <c:lblOffset val="100"/>
        <c:noMultiLvlLbl val="0"/>
      </c:catAx>
      <c:valAx>
        <c:axId val="134965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79552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</c:legendEntry>
      <c:layout>
        <c:manualLayout>
          <c:xMode val="edge"/>
          <c:yMode val="edge"/>
          <c:x val="0.67580314613159986"/>
          <c:y val="0.17965271582431505"/>
          <c:w val="0.32419685386840025"/>
          <c:h val="0.765489313835770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a-ES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PC3.03_Ind01 Nombre de convenis de Mobilitat (&gt; o = 100)</a:t>
            </a:r>
            <a:endParaRPr lang="ca-ES">
              <a:effectLst/>
            </a:endParaRPr>
          </a:p>
        </c:rich>
      </c:tx>
      <c:layout>
        <c:manualLayout>
          <c:xMode val="edge"/>
          <c:yMode val="edge"/>
          <c:x val="0.1374862206796994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'PC3.03_Ind01'!$D$11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'PC3.03_Ind01'!$D$12:$G$12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'PC3.03_Ind01'!$D$12:$F$12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5-4C3F-9EC1-715813382801}"/>
            </c:ext>
          </c:extLst>
        </c:ser>
        <c:ser>
          <c:idx val="1"/>
          <c:order val="1"/>
          <c:tx>
            <c:strRef>
              <c:f>'PC3.03_Ind01'!$B$29</c:f>
              <c:strCache>
                <c:ptCount val="1"/>
                <c:pt idx="0">
                  <c:v>Total (ERASMUS+SICUE+EXCHANGE PROGRAM)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4385-4C3F-9EC1-715813382801}"/>
              </c:ext>
            </c:extLst>
          </c:dPt>
          <c:cat>
            <c:strRef>
              <c:f>'PC3.03_Ind01'!$D$12:$G$12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'PC3.03_Ind01'!$D$29:$G$29</c:f>
              <c:numCache>
                <c:formatCode>General</c:formatCode>
                <c:ptCount val="4"/>
                <c:pt idx="0">
                  <c:v>304</c:v>
                </c:pt>
                <c:pt idx="1">
                  <c:v>318</c:v>
                </c:pt>
                <c:pt idx="2">
                  <c:v>324</c:v>
                </c:pt>
                <c:pt idx="3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85-4C3F-9EC1-715813382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05518559"/>
        <c:axId val="1358653519"/>
      </c:barChart>
      <c:lineChart>
        <c:grouping val="standard"/>
        <c:varyColors val="0"/>
        <c:ser>
          <c:idx val="2"/>
          <c:order val="2"/>
          <c:tx>
            <c:strRef>
              <c:f>'PC3.03_Ind01'!$B$30</c:f>
              <c:strCache>
                <c:ptCount val="1"/>
                <c:pt idx="0">
                  <c:v>Valor objectiu</c:v>
                </c:pt>
              </c:strCache>
            </c:strRef>
          </c:tx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'PC3.03_Ind01'!$D$12:$F$12</c:f>
              <c:strCache>
                <c:ptCount val="3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</c:strCache>
            </c:strRef>
          </c:cat>
          <c:val>
            <c:numRef>
              <c:f>'PC3.03_Ind01'!$D$30:$G$30</c:f>
              <c:numCache>
                <c:formatCode>0.00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85-4C3F-9EC1-715813382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18559"/>
        <c:axId val="1358653519"/>
      </c:lineChart>
      <c:catAx>
        <c:axId val="705518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58653519"/>
        <c:crosses val="autoZero"/>
        <c:auto val="1"/>
        <c:lblAlgn val="ctr"/>
        <c:lblOffset val="100"/>
        <c:noMultiLvlLbl val="0"/>
      </c:catAx>
      <c:valAx>
        <c:axId val="1358653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705518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600" b="1" i="0" u="none" strike="noStrike" baseline="0">
                <a:effectLst/>
              </a:rPr>
              <a:t>PC3.03_Ind02. Valoració mitjana a l’afirmació “Les accions de mobilitat que he realitzat han estat rellevants per al meu aprenentatge</a:t>
            </a:r>
            <a:endParaRPr lang="ca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7.0139107611548554E-2"/>
          <c:y val="6.4814814814814811E-2"/>
          <c:w val="0.9020831146106737"/>
          <c:h val="0.847314814814814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'PC3.03_Ind02'!$B$12</c:f>
              <c:strCache>
                <c:ptCount val="1"/>
                <c:pt idx="0">
                  <c:v>Ciències Ambientals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'PC3.03_Ind02'!$D$11:$I$11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'PC3.03_Ind02'!$D$12:$H$12</c:f>
              <c:numCache>
                <c:formatCode>General</c:formatCode>
                <c:ptCount val="5"/>
                <c:pt idx="0">
                  <c:v>2.9</c:v>
                </c:pt>
                <c:pt idx="1">
                  <c:v>0</c:v>
                </c:pt>
                <c:pt idx="2">
                  <c:v>4.33</c:v>
                </c:pt>
                <c:pt idx="3">
                  <c:v>2.75</c:v>
                </c:pt>
                <c:pt idx="4">
                  <c:v>3.93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2F-4D25-909C-EADBFABE95B0}"/>
            </c:ext>
          </c:extLst>
        </c:ser>
        <c:ser>
          <c:idx val="1"/>
          <c:order val="1"/>
          <c:tx>
            <c:strRef>
              <c:f>'PC3.03_Ind02'!$B$13</c:f>
              <c:strCache>
                <c:ptCount val="1"/>
                <c:pt idx="0">
                  <c:v>Ciències Ambientals + Geologia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'PC3.03_Ind02'!$D$11:$I$11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'PC3.03_Ind02'!$D$13:$H$13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3.8</c:v>
                </c:pt>
                <c:pt idx="3">
                  <c:v>3</c:v>
                </c:pt>
                <c:pt idx="4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2F-4D25-909C-EADBFABE95B0}"/>
            </c:ext>
          </c:extLst>
        </c:ser>
        <c:ser>
          <c:idx val="2"/>
          <c:order val="2"/>
          <c:tx>
            <c:strRef>
              <c:f>'PC3.03_Ind02'!$B$14</c:f>
              <c:strCache>
                <c:ptCount val="1"/>
                <c:pt idx="0">
                  <c:v>Estadística Aplicada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'PC3.03_Ind02'!$D$11:$I$11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'PC3.03_Ind02'!$D$14:$H$14</c:f>
              <c:numCache>
                <c:formatCode>General</c:formatCode>
                <c:ptCount val="5"/>
                <c:pt idx="0">
                  <c:v>0</c:v>
                </c:pt>
                <c:pt idx="1">
                  <c:v>2.5</c:v>
                </c:pt>
                <c:pt idx="2">
                  <c:v>3.17</c:v>
                </c:pt>
                <c:pt idx="3">
                  <c:v>1</c:v>
                </c:pt>
                <c:pt idx="4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2F-4D25-909C-EADBFABE95B0}"/>
            </c:ext>
          </c:extLst>
        </c:ser>
        <c:ser>
          <c:idx val="3"/>
          <c:order val="3"/>
          <c:tx>
            <c:strRef>
              <c:f>'PC3.03_Ind02'!$B$15</c:f>
              <c:strCache>
                <c:ptCount val="1"/>
                <c:pt idx="0">
                  <c:v>Física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'PC3.03_Ind02'!$D$11:$I$11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'PC3.03_Ind02'!$D$15:$H$15</c:f>
              <c:numCache>
                <c:formatCode>General</c:formatCode>
                <c:ptCount val="5"/>
                <c:pt idx="0">
                  <c:v>2.33</c:v>
                </c:pt>
                <c:pt idx="1">
                  <c:v>3.27</c:v>
                </c:pt>
                <c:pt idx="2">
                  <c:v>3.45</c:v>
                </c:pt>
                <c:pt idx="3">
                  <c:v>3.33</c:v>
                </c:pt>
                <c:pt idx="4">
                  <c:v>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2F-4D25-909C-EADBFABE95B0}"/>
            </c:ext>
          </c:extLst>
        </c:ser>
        <c:ser>
          <c:idx val="4"/>
          <c:order val="4"/>
          <c:tx>
            <c:strRef>
              <c:f>'PC3.03_Ind02'!$B$16</c:f>
              <c:strCache>
                <c:ptCount val="1"/>
                <c:pt idx="0">
                  <c:v>Física + Matemàtiques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'PC3.03_Ind02'!$D$11:$I$11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'PC3.03_Ind02'!$D$16:$H$16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2F-4D25-909C-EADBFABE95B0}"/>
            </c:ext>
          </c:extLst>
        </c:ser>
        <c:ser>
          <c:idx val="5"/>
          <c:order val="5"/>
          <c:tx>
            <c:strRef>
              <c:f>'PC3.03_Ind02'!$B$17</c:f>
              <c:strCache>
                <c:ptCount val="1"/>
                <c:pt idx="0">
                  <c:v>Física + Química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'PC3.03_Ind02'!$D$11:$I$11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'PC3.03_Ind02'!$D$17:$H$17</c:f>
              <c:numCache>
                <c:formatCode>General</c:formatCode>
                <c:ptCount val="5"/>
                <c:pt idx="0">
                  <c:v>2.83</c:v>
                </c:pt>
                <c:pt idx="1">
                  <c:v>2</c:v>
                </c:pt>
                <c:pt idx="2">
                  <c:v>0</c:v>
                </c:pt>
                <c:pt idx="3">
                  <c:v>2.33</c:v>
                </c:pt>
                <c:pt idx="4">
                  <c:v>3.83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2F-4D25-909C-EADBFABE95B0}"/>
            </c:ext>
          </c:extLst>
        </c:ser>
        <c:ser>
          <c:idx val="6"/>
          <c:order val="6"/>
          <c:tx>
            <c:strRef>
              <c:f>'PC3.03_Ind02'!$B$18</c:f>
              <c:strCache>
                <c:ptCount val="1"/>
                <c:pt idx="0">
                  <c:v>Geologia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'PC3.03_Ind02'!$D$11:$I$11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'PC3.03_Ind02'!$D$18:$H$18</c:f>
              <c:numCache>
                <c:formatCode>General</c:formatCode>
                <c:ptCount val="5"/>
                <c:pt idx="0">
                  <c:v>3.6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2F-4D25-909C-EADBFABE95B0}"/>
            </c:ext>
          </c:extLst>
        </c:ser>
        <c:ser>
          <c:idx val="7"/>
          <c:order val="7"/>
          <c:tx>
            <c:strRef>
              <c:f>'PC3.03_Ind02'!$B$19</c:f>
              <c:strCache>
                <c:ptCount val="1"/>
                <c:pt idx="0">
                  <c:v>Matemàtica Computacional i Analítica de Dades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'PC3.03_Ind02'!$D$11:$I$11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'PC3.03_Ind02'!$D$19:$H$19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52F-4D25-909C-EADBFABE95B0}"/>
            </c:ext>
          </c:extLst>
        </c:ser>
        <c:ser>
          <c:idx val="8"/>
          <c:order val="8"/>
          <c:tx>
            <c:strRef>
              <c:f>'PC3.03_Ind02'!$B$20</c:f>
              <c:strCache>
                <c:ptCount val="1"/>
                <c:pt idx="0">
                  <c:v>Matemàtiques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'PC3.03_Ind02'!$D$11:$I$11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'PC3.03_Ind02'!$D$20:$H$20</c:f>
              <c:numCache>
                <c:formatCode>General</c:formatCode>
                <c:ptCount val="5"/>
                <c:pt idx="0">
                  <c:v>3.22</c:v>
                </c:pt>
                <c:pt idx="1">
                  <c:v>3.2</c:v>
                </c:pt>
                <c:pt idx="2">
                  <c:v>2.91</c:v>
                </c:pt>
                <c:pt idx="3">
                  <c:v>2.5</c:v>
                </c:pt>
                <c:pt idx="4">
                  <c:v>3.31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52F-4D25-909C-EADBFABE95B0}"/>
            </c:ext>
          </c:extLst>
        </c:ser>
        <c:ser>
          <c:idx val="9"/>
          <c:order val="9"/>
          <c:tx>
            <c:strRef>
              <c:f>'PC3.03_Ind02'!$B$21</c:f>
              <c:strCache>
                <c:ptCount val="1"/>
                <c:pt idx="0">
                  <c:v>Nanociència i Nanotecnologia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'PC3.03_Ind02'!$D$11:$I$11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'PC3.03_Ind02'!$D$21:$H$21</c:f>
              <c:numCache>
                <c:formatCode>General</c:formatCode>
                <c:ptCount val="5"/>
                <c:pt idx="0">
                  <c:v>3.5</c:v>
                </c:pt>
                <c:pt idx="1">
                  <c:v>2.33</c:v>
                </c:pt>
                <c:pt idx="2">
                  <c:v>3.85</c:v>
                </c:pt>
                <c:pt idx="3">
                  <c:v>2.5</c:v>
                </c:pt>
                <c:pt idx="4">
                  <c:v>3.57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52F-4D25-909C-EADBFABE95B0}"/>
            </c:ext>
          </c:extLst>
        </c:ser>
        <c:ser>
          <c:idx val="10"/>
          <c:order val="10"/>
          <c:tx>
            <c:strRef>
              <c:f>'PC3.03_Ind02'!$B$22</c:f>
              <c:strCache>
                <c:ptCount val="1"/>
                <c:pt idx="0">
                  <c:v>Química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'PC3.03_Ind02'!$D$11:$I$11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'PC3.03_Ind02'!$D$22:$H$22</c:f>
              <c:numCache>
                <c:formatCode>General</c:formatCode>
                <c:ptCount val="5"/>
                <c:pt idx="0">
                  <c:v>3.19</c:v>
                </c:pt>
                <c:pt idx="1">
                  <c:v>2.67</c:v>
                </c:pt>
                <c:pt idx="2">
                  <c:v>1.92</c:v>
                </c:pt>
                <c:pt idx="3">
                  <c:v>3.33</c:v>
                </c:pt>
                <c:pt idx="4">
                  <c:v>3.45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52F-4D25-909C-EADBFABE9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05508351"/>
        <c:axId val="844725519"/>
      </c:barChart>
      <c:lineChart>
        <c:grouping val="standard"/>
        <c:varyColors val="0"/>
        <c:ser>
          <c:idx val="11"/>
          <c:order val="11"/>
          <c:tx>
            <c:strRef>
              <c:f>'PC3.03_Ind02'!$B$23</c:f>
              <c:strCache>
                <c:ptCount val="1"/>
                <c:pt idx="0">
                  <c:v>≥3</c:v>
                </c:pt>
              </c:strCache>
            </c:strRef>
          </c:tx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chemeClr val="accent2">
                  <a:alpha val="63000"/>
                </a:scheme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6">
                    <a:lumMod val="60000"/>
                  </a:schemeClr>
                </a:solidFill>
                <a:round/>
              </a:ln>
              <a:effectLst>
                <a:outerShdw blurRad="57150" dist="19050" dir="5400000" algn="ctr" rotWithShape="0">
                  <a:schemeClr val="accent2">
                    <a:alpha val="63000"/>
                  </a:schemeClr>
                </a:outerShdw>
              </a:effectLst>
            </c:spPr>
          </c:marker>
          <c:dPt>
            <c:idx val="0"/>
            <c:marker>
              <c:symbol val="circle"/>
              <c:size val="6"/>
              <c:spPr>
                <a:solidFill>
                  <a:schemeClr val="accent2"/>
                </a:solidFill>
                <a:ln w="41275" cap="rnd">
                  <a:solidFill>
                    <a:schemeClr val="accent6">
                      <a:lumMod val="60000"/>
                    </a:schemeClr>
                  </a:solidFill>
                  <a:round/>
                </a:ln>
                <a:effectLst>
                  <a:outerShdw blurRad="57150" dist="19050" dir="5400000" algn="ctr" rotWithShape="0">
                    <a:schemeClr val="accent2">
                      <a:alpha val="63000"/>
                    </a:schemeClr>
                  </a:outerShd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52F-4D25-909C-EADBFABE95B0}"/>
              </c:ext>
            </c:extLst>
          </c:dPt>
          <c:val>
            <c:numRef>
              <c:f>'PC3.03_Ind02'!$D$25:$H$25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F52F-4D25-909C-EADBFABE9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08351"/>
        <c:axId val="844725519"/>
      </c:lineChart>
      <c:catAx>
        <c:axId val="705508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44725519"/>
        <c:crosses val="autoZero"/>
        <c:auto val="1"/>
        <c:lblAlgn val="ctr"/>
        <c:lblOffset val="100"/>
        <c:noMultiLvlLbl val="0"/>
      </c:catAx>
      <c:valAx>
        <c:axId val="844725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7055083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4363046345549975E-2"/>
          <c:y val="9.8712146594121891E-2"/>
          <c:w val="0.83314702509556882"/>
          <c:h val="0.14196869685366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a-ES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PC3.03_Ind03 Percentatge d'alumnat estranger</a:t>
            </a:r>
            <a:endParaRPr lang="ca-ES">
              <a:effectLst/>
            </a:endParaRPr>
          </a:p>
        </c:rich>
      </c:tx>
      <c:layout>
        <c:manualLayout>
          <c:xMode val="edge"/>
          <c:yMode val="edge"/>
          <c:x val="0.1374862206796994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'PC3.03_Ind03'!$C$11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'PC3.03_Ind03'!$B$11:$I$11</c15:sqref>
                  </c15:fullRef>
                </c:ext>
              </c:extLst>
              <c:f>('PC3.03_Ind03'!$B$11,'PC3.03_Ind03'!$D$11,'PC3.03_Ind03'!$F$11,'PC3.03_Ind03'!$H$11)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'PC3.03_Ind03'!$B$11:$I$11</c15:sqref>
                  </c15:fullRef>
                </c:ext>
              </c:extLst>
              <c:f>('PC3.03_Ind03'!$B$11,'PC3.03_Ind03'!$D$11,'PC3.03_Ind03'!$F$11,'PC3.03_Ind03'!$H$11)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18-4A72-A964-4F3A7AC72B31}"/>
            </c:ext>
          </c:extLst>
        </c:ser>
        <c:ser>
          <c:idx val="1"/>
          <c:order val="1"/>
          <c:tx>
            <c:strRef>
              <c:f>'PC3.03_Ind03'!$A$61</c:f>
              <c:strCache>
                <c:ptCount val="1"/>
                <c:pt idx="0">
                  <c:v> Total %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'PC3.03_Ind03'!$B$11:$I$11</c15:sqref>
                  </c15:fullRef>
                </c:ext>
              </c:extLst>
              <c:f>('PC3.03_Ind03'!$B$11,'PC3.03_Ind03'!$D$11,'PC3.03_Ind03'!$F$11,'PC3.03_Ind03'!$H$11)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'PC3.03_Ind03'!$C$61:$I$61</c15:sqref>
                  </c15:fullRef>
                </c:ext>
              </c:extLst>
              <c:f>('PC3.03_Ind03'!$C$61,'PC3.03_Ind03'!$E$61,'PC3.03_Ind03'!$G$61,'PC3.03_Ind03'!$I$61)</c:f>
              <c:numCache>
                <c:formatCode>General</c:formatCode>
                <c:ptCount val="4"/>
                <c:pt idx="0">
                  <c:v>6.8181818180000002</c:v>
                </c:pt>
                <c:pt idx="1">
                  <c:v>7.0843373500000002</c:v>
                </c:pt>
                <c:pt idx="2">
                  <c:v>6.9531627199999999</c:v>
                </c:pt>
                <c:pt idx="3">
                  <c:v>7.6737451739999996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18-4A72-A964-4F3A7AC72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5518559"/>
        <c:axId val="1358653519"/>
      </c:barChart>
      <c:lineChart>
        <c:grouping val="stacked"/>
        <c:varyColors val="0"/>
        <c:ser>
          <c:idx val="2"/>
          <c:order val="2"/>
          <c:tx>
            <c:strRef>
              <c:f>'PC3.03_Ind03'!$A$63</c:f>
              <c:strCache>
                <c:ptCount val="1"/>
                <c:pt idx="0">
                  <c:v>Valor objectiu &lt;10</c:v>
                </c:pt>
              </c:strCache>
            </c:strRef>
          </c:tx>
          <c:spPr>
            <a:ln w="34925" cap="rnd">
              <a:solidFill>
                <a:schemeClr val="accent6">
                  <a:lumMod val="75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'PC3.03_Ind03'!$B$11:$I$11</c15:sqref>
                  </c15:fullRef>
                </c:ext>
              </c:extLst>
              <c:f>('PC3.03_Ind03'!$B$11,'PC3.03_Ind03'!$D$11,'PC3.03_Ind03'!$F$11,'PC3.03_Ind03'!$H$11)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'PC3.03_Ind03'!$B$63:$I$63</c15:sqref>
                  </c15:fullRef>
                </c:ext>
              </c:extLst>
              <c:f>('PC3.03_Ind03'!$B$63,'PC3.03_Ind03'!$D$63,'PC3.03_Ind03'!$F$63,'PC3.03_Ind03'!$H$63)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18-4A72-A964-4F3A7AC72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18559"/>
        <c:axId val="1358653519"/>
      </c:lineChart>
      <c:catAx>
        <c:axId val="705518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58653519"/>
        <c:crosses val="autoZero"/>
        <c:auto val="1"/>
        <c:lblAlgn val="ctr"/>
        <c:lblOffset val="100"/>
        <c:noMultiLvlLbl val="0"/>
      </c:catAx>
      <c:valAx>
        <c:axId val="1358653519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705518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a-ES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PC3.03_Ind04 </a:t>
            </a:r>
            <a:r>
              <a:rPr lang="ca-ES" sz="1800" b="1">
                <a:effectLst/>
              </a:rPr>
              <a:t>Percentatge d’alumnat rebut per mitjà de programes de mobilitat (Incoming_Graus)</a:t>
            </a:r>
            <a:endParaRPr lang="ca-ES" sz="18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rgbClr val="FFFFFF">
                    <a:lumMod val="95000"/>
                  </a:srgbClr>
                </a:solidFill>
              </a:defRPr>
            </a:pPr>
            <a:r>
              <a:rPr lang="ca-ES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  </a:t>
            </a:r>
            <a:endParaRPr lang="ca-ES">
              <a:effectLst/>
            </a:endParaRPr>
          </a:p>
        </c:rich>
      </c:tx>
      <c:layout>
        <c:manualLayout>
          <c:xMode val="edge"/>
          <c:yMode val="edge"/>
          <c:x val="0.1374862206796994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rgbClr val="FFFFFF">
                  <a:lumMod val="95000"/>
                </a:srgb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'PC3.03_Ind04'!$A$19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744-4792-AED1-320B29A4B297}"/>
              </c:ext>
            </c:extLst>
          </c:dPt>
          <c:cat>
            <c:strRef>
              <c:f>'PC3.03_Ind04'!#REF!</c:f>
              <c:strCache>
                <c:ptCount val="1"/>
                <c:pt idx="0">
                  <c:v>#¡REF!</c:v>
                </c:pt>
              </c:strCache>
            </c:strRef>
          </c:cat>
          <c:val>
            <c:numRef>
              <c:f>'PC3.03_Ind04'!$I$32:$L$32</c:f>
              <c:numCache>
                <c:formatCode>General</c:formatCode>
                <c:ptCount val="4"/>
                <c:pt idx="0">
                  <c:v>2.5096530000000001</c:v>
                </c:pt>
                <c:pt idx="1">
                  <c:v>2.5108640000000002</c:v>
                </c:pt>
                <c:pt idx="2">
                  <c:v>1.1566270000000001</c:v>
                </c:pt>
                <c:pt idx="3">
                  <c:v>2.575758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44-4792-AED1-320B29A4B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05518559"/>
        <c:axId val="1358653519"/>
      </c:barChart>
      <c:lineChart>
        <c:grouping val="stacked"/>
        <c:varyColors val="0"/>
        <c:ser>
          <c:idx val="0"/>
          <c:order val="0"/>
          <c:tx>
            <c:strRef>
              <c:f>'PC3.03_Ind04'!$H$23</c:f>
              <c:strCache>
                <c:ptCount val="1"/>
                <c:pt idx="0">
                  <c:v>Curs acadèmic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'PC3.03_Ind04'!$I$23:$L$23</c:f>
              <c:strCache>
                <c:ptCount val="4"/>
                <c:pt idx="0">
                  <c:v>2022/23</c:v>
                </c:pt>
                <c:pt idx="1">
                  <c:v>2021/22</c:v>
                </c:pt>
                <c:pt idx="2">
                  <c:v>2020/21</c:v>
                </c:pt>
                <c:pt idx="3">
                  <c:v>2019/20</c:v>
                </c:pt>
              </c:strCache>
            </c:strRef>
          </c:cat>
          <c:val>
            <c:numRef>
              <c:f>'PC3.03_Ind04'!$I$23:$L$23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44-4792-AED1-320B29A4B297}"/>
            </c:ext>
          </c:extLst>
        </c:ser>
        <c:ser>
          <c:idx val="2"/>
          <c:order val="2"/>
          <c:tx>
            <c:strRef>
              <c:f>'PC3.03_Ind04'!$H$33</c:f>
              <c:strCache>
                <c:ptCount val="1"/>
                <c:pt idx="0">
                  <c:v>Objectiu &lt;3</c:v>
                </c:pt>
              </c:strCache>
            </c:strRef>
          </c:tx>
          <c:spPr>
            <a:ln w="34925" cap="rnd">
              <a:solidFill>
                <a:schemeClr val="accent6">
                  <a:lumMod val="75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'PC3.03_Ind04'!$I$23:$L$23</c:f>
              <c:strCache>
                <c:ptCount val="4"/>
                <c:pt idx="0">
                  <c:v>2022/23</c:v>
                </c:pt>
                <c:pt idx="1">
                  <c:v>2021/22</c:v>
                </c:pt>
                <c:pt idx="2">
                  <c:v>2020/21</c:v>
                </c:pt>
                <c:pt idx="3">
                  <c:v>2019/20</c:v>
                </c:pt>
              </c:strCache>
            </c:strRef>
          </c:cat>
          <c:val>
            <c:numRef>
              <c:f>'PC3.03_Ind04'!$I$33:$L$33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744-4792-AED1-320B29A4B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18559"/>
        <c:axId val="1358653519"/>
      </c:lineChart>
      <c:catAx>
        <c:axId val="705518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58653519"/>
        <c:crosses val="autoZero"/>
        <c:auto val="1"/>
        <c:lblAlgn val="ctr"/>
        <c:lblOffset val="100"/>
        <c:noMultiLvlLbl val="0"/>
      </c:catAx>
      <c:valAx>
        <c:axId val="1358653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705518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rgbClr val="FFFFFF">
                    <a:lumMod val="95000"/>
                  </a:srgb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a-ES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PC3.03_Ind05  </a:t>
            </a:r>
            <a:r>
              <a:rPr lang="ca-ES" sz="1800" b="1">
                <a:effectLst/>
              </a:rPr>
              <a:t>Percentatge d’alumnat sortint per mitjà de programes de mobilitat (outgoing_Graus)</a:t>
            </a:r>
            <a:endParaRPr lang="ca-ES" sz="18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rgbClr val="FFFFFF">
                    <a:lumMod val="95000"/>
                  </a:srgbClr>
                </a:solidFill>
              </a:defRPr>
            </a:pPr>
            <a:endParaRPr lang="ca-ES">
              <a:effectLst/>
            </a:endParaRPr>
          </a:p>
        </c:rich>
      </c:tx>
      <c:layout>
        <c:manualLayout>
          <c:xMode val="edge"/>
          <c:yMode val="edge"/>
          <c:x val="0.1374862206796994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rgbClr val="FFFFFF">
                  <a:lumMod val="95000"/>
                </a:srgb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'PC3.03_Ind05'!$R$12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'PC3.03_Ind04'!#REF!</c:f>
              <c:strCache>
                <c:ptCount val="1"/>
                <c:pt idx="0">
                  <c:v>#¡REF!</c:v>
                </c:pt>
              </c:strCache>
              <c:extLst xmlns:c15="http://schemas.microsoft.com/office/drawing/2012/chart"/>
            </c:strRef>
          </c:cat>
          <c:val>
            <c:numRef>
              <c:f>'PC3.03_Ind05'!$S$12:$V$12</c:f>
              <c:numCache>
                <c:formatCode>General</c:formatCode>
                <c:ptCount val="4"/>
                <c:pt idx="0">
                  <c:v>6.08</c:v>
                </c:pt>
                <c:pt idx="1">
                  <c:v>5.79</c:v>
                </c:pt>
                <c:pt idx="2">
                  <c:v>2.31</c:v>
                </c:pt>
                <c:pt idx="3">
                  <c:v>3.38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C7-46A3-A4F9-422210CF9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05518559"/>
        <c:axId val="1358653519"/>
      </c:barChart>
      <c:lineChart>
        <c:grouping val="stacked"/>
        <c:varyColors val="0"/>
        <c:ser>
          <c:idx val="0"/>
          <c:order val="0"/>
          <c:tx>
            <c:strRef>
              <c:f>'PC3.03_Ind05'!$H$27</c:f>
              <c:strCache>
                <c:ptCount val="1"/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'PC3.03_Ind05'!$S$11:$V$11</c:f>
              <c:strCache>
                <c:ptCount val="4"/>
                <c:pt idx="0">
                  <c:v>2022/2023</c:v>
                </c:pt>
                <c:pt idx="1">
                  <c:v>2021/2022</c:v>
                </c:pt>
                <c:pt idx="2">
                  <c:v>2020/2021</c:v>
                </c:pt>
                <c:pt idx="3">
                  <c:v>2019/2020</c:v>
                </c:pt>
              </c:strCache>
            </c:strRef>
          </c:cat>
          <c:val>
            <c:numRef>
              <c:f>'PC3.03_Ind05'!$I$27:$L$27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C7-46A3-A4F9-422210CF9993}"/>
            </c:ext>
          </c:extLst>
        </c:ser>
        <c:ser>
          <c:idx val="2"/>
          <c:order val="2"/>
          <c:tx>
            <c:strRef>
              <c:f>'PC3.03_Ind05'!$R$13</c:f>
              <c:strCache>
                <c:ptCount val="1"/>
                <c:pt idx="0">
                  <c:v>Valor objectiu &lt;6</c:v>
                </c:pt>
              </c:strCache>
            </c:strRef>
          </c:tx>
          <c:spPr>
            <a:ln w="34925" cap="rnd">
              <a:solidFill>
                <a:schemeClr val="accent6">
                  <a:lumMod val="75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'PC3.03_Ind05'!$S$11:$V$11</c:f>
              <c:strCache>
                <c:ptCount val="4"/>
                <c:pt idx="0">
                  <c:v>2022/2023</c:v>
                </c:pt>
                <c:pt idx="1">
                  <c:v>2021/2022</c:v>
                </c:pt>
                <c:pt idx="2">
                  <c:v>2020/2021</c:v>
                </c:pt>
                <c:pt idx="3">
                  <c:v>2019/2020</c:v>
                </c:pt>
              </c:strCache>
            </c:strRef>
          </c:cat>
          <c:val>
            <c:numRef>
              <c:f>'PC3.03_Ind05'!$S$13:$V$13</c:f>
              <c:numCache>
                <c:formatCode>General</c:formatCode>
                <c:ptCount val="4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C7-46A3-A4F9-422210CF9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18559"/>
        <c:axId val="1358653519"/>
      </c:lineChart>
      <c:catAx>
        <c:axId val="705518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58653519"/>
        <c:crosses val="autoZero"/>
        <c:auto val="1"/>
        <c:lblAlgn val="ctr"/>
        <c:lblOffset val="100"/>
        <c:noMultiLvlLbl val="0"/>
      </c:catAx>
      <c:valAx>
        <c:axId val="1358653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705518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a-ES" sz="1200" b="1">
                <a:effectLst/>
              </a:rPr>
              <a:t>PC3.04_Ind01. Taxa de rendiment per curs acadèmic i titulació</a:t>
            </a:r>
            <a:endParaRPr lang="ca-E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'PC3.04_Ind01'!$B$36</c:f>
              <c:strCache>
                <c:ptCount val="1"/>
                <c:pt idx="0">
                  <c:v>9. Gràfic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'PC3.04_Ind01'!$D$12:$I$12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'PC3.04_Ind01'!$C$36:$E$36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A8EE-4E72-8FD7-708A0ECBF79C}"/>
            </c:ext>
          </c:extLst>
        </c:ser>
        <c:ser>
          <c:idx val="1"/>
          <c:order val="1"/>
          <c:tx>
            <c:strRef>
              <c:f>'PC3.04_Ind01'!$C$12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'PC3.04_Ind01'!$D$12:$I$12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'PC3.04_Ind01'!$D$12:$H$12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EE-4E72-8FD7-708A0ECBF79C}"/>
            </c:ext>
          </c:extLst>
        </c:ser>
        <c:ser>
          <c:idx val="2"/>
          <c:order val="2"/>
          <c:tx>
            <c:strRef>
              <c:f>'PC3.04_Ind01'!$B$13</c:f>
              <c:strCache>
                <c:ptCount val="1"/>
                <c:pt idx="0">
                  <c:v>Ciències Ambientals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'PC3.04_Ind01'!$D$12:$I$12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'PC3.04_Ind01'!$D$13:$I$13</c:f>
              <c:numCache>
                <c:formatCode>0%</c:formatCode>
                <c:ptCount val="6"/>
                <c:pt idx="0">
                  <c:v>0.85</c:v>
                </c:pt>
                <c:pt idx="1">
                  <c:v>0.87</c:v>
                </c:pt>
                <c:pt idx="2">
                  <c:v>0.93</c:v>
                </c:pt>
                <c:pt idx="3">
                  <c:v>0.89</c:v>
                </c:pt>
                <c:pt idx="4">
                  <c:v>0.87880000000000003</c:v>
                </c:pt>
                <c:pt idx="5">
                  <c:v>0.90600000000000003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EE-4E72-8FD7-708A0ECBF79C}"/>
            </c:ext>
          </c:extLst>
        </c:ser>
        <c:ser>
          <c:idx val="3"/>
          <c:order val="3"/>
          <c:tx>
            <c:strRef>
              <c:f>'PC3.04_Ind01'!$B$14</c:f>
              <c:strCache>
                <c:ptCount val="1"/>
                <c:pt idx="0">
                  <c:v>Ciències Ambientals i Grau en Geologia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'PC3.04_Ind01'!$D$12:$I$12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'PC3.04_Ind01'!$D$14:$I$14</c:f>
              <c:numCache>
                <c:formatCode>0%</c:formatCode>
                <c:ptCount val="6"/>
                <c:pt idx="0">
                  <c:v>0.9</c:v>
                </c:pt>
                <c:pt idx="1">
                  <c:v>0.92</c:v>
                </c:pt>
                <c:pt idx="2">
                  <c:v>0.95</c:v>
                </c:pt>
                <c:pt idx="3">
                  <c:v>0.92</c:v>
                </c:pt>
                <c:pt idx="4">
                  <c:v>0.91500000000000004</c:v>
                </c:pt>
                <c:pt idx="5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EE-4E72-8FD7-708A0ECBF79C}"/>
            </c:ext>
          </c:extLst>
        </c:ser>
        <c:ser>
          <c:idx val="4"/>
          <c:order val="4"/>
          <c:tx>
            <c:strRef>
              <c:f>'PC3.04_Ind01'!$B$15</c:f>
              <c:strCache>
                <c:ptCount val="1"/>
                <c:pt idx="0">
                  <c:v>Estadística Aplicada  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'PC3.04_Ind01'!$D$12:$I$12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'PC3.04_Ind01'!$D$15:$I$15</c:f>
              <c:numCache>
                <c:formatCode>0%</c:formatCode>
                <c:ptCount val="6"/>
                <c:pt idx="0">
                  <c:v>0.75</c:v>
                </c:pt>
                <c:pt idx="1">
                  <c:v>0.79</c:v>
                </c:pt>
                <c:pt idx="2">
                  <c:v>0.78</c:v>
                </c:pt>
                <c:pt idx="3">
                  <c:v>0.93</c:v>
                </c:pt>
                <c:pt idx="4">
                  <c:v>0.80500000000000005</c:v>
                </c:pt>
                <c:pt idx="5">
                  <c:v>0.83509999999999995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EE-4E72-8FD7-708A0ECBF79C}"/>
            </c:ext>
          </c:extLst>
        </c:ser>
        <c:ser>
          <c:idx val="5"/>
          <c:order val="5"/>
          <c:tx>
            <c:strRef>
              <c:f>'PC3.04_Ind01'!$B$16</c:f>
              <c:strCache>
                <c:ptCount val="1"/>
                <c:pt idx="0">
                  <c:v>Física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'PC3.04_Ind01'!$D$12:$I$12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'PC3.04_Ind01'!$D$16:$I$16</c:f>
              <c:numCache>
                <c:formatCode>0%</c:formatCode>
                <c:ptCount val="6"/>
                <c:pt idx="0">
                  <c:v>0.82</c:v>
                </c:pt>
                <c:pt idx="1">
                  <c:v>0.84</c:v>
                </c:pt>
                <c:pt idx="2">
                  <c:v>0.88</c:v>
                </c:pt>
                <c:pt idx="3">
                  <c:v>0.87</c:v>
                </c:pt>
                <c:pt idx="4">
                  <c:v>0.875</c:v>
                </c:pt>
                <c:pt idx="5">
                  <c:v>0.84499999999999997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EE-4E72-8FD7-708A0ECBF79C}"/>
            </c:ext>
          </c:extLst>
        </c:ser>
        <c:ser>
          <c:idx val="6"/>
          <c:order val="6"/>
          <c:tx>
            <c:strRef>
              <c:f>'PC3.04_Ind01'!$B$17</c:f>
              <c:strCache>
                <c:ptCount val="1"/>
                <c:pt idx="0">
                  <c:v>Física i Matemàtiques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'PC3.04_Ind01'!$D$12:$I$12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'PC3.04_Ind01'!$D$17:$I$17</c:f>
              <c:numCache>
                <c:formatCode>0%</c:formatCode>
                <c:ptCount val="6"/>
                <c:pt idx="0">
                  <c:v>0.94</c:v>
                </c:pt>
                <c:pt idx="1">
                  <c:v>0.94</c:v>
                </c:pt>
                <c:pt idx="2">
                  <c:v>0.96</c:v>
                </c:pt>
                <c:pt idx="3">
                  <c:v>0.94</c:v>
                </c:pt>
                <c:pt idx="4">
                  <c:v>0.94</c:v>
                </c:pt>
                <c:pt idx="5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EE-4E72-8FD7-708A0ECBF79C}"/>
            </c:ext>
          </c:extLst>
        </c:ser>
        <c:ser>
          <c:idx val="7"/>
          <c:order val="7"/>
          <c:tx>
            <c:strRef>
              <c:f>'PC3.04_Ind01'!$B$18</c:f>
              <c:strCache>
                <c:ptCount val="1"/>
                <c:pt idx="0">
                  <c:v>Física i Química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'PC3.04_Ind01'!$D$12:$I$12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'PC3.04_Ind01'!$D$18:$I$18</c:f>
              <c:numCache>
                <c:formatCode>0%</c:formatCode>
                <c:ptCount val="6"/>
                <c:pt idx="0">
                  <c:v>0.93</c:v>
                </c:pt>
                <c:pt idx="1">
                  <c:v>0.95</c:v>
                </c:pt>
                <c:pt idx="2">
                  <c:v>0.97</c:v>
                </c:pt>
                <c:pt idx="3" formatCode="General">
                  <c:v>0</c:v>
                </c:pt>
                <c:pt idx="4">
                  <c:v>0.94499999999999995</c:v>
                </c:pt>
                <c:pt idx="5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8EE-4E72-8FD7-708A0ECBF79C}"/>
            </c:ext>
          </c:extLst>
        </c:ser>
        <c:ser>
          <c:idx val="8"/>
          <c:order val="8"/>
          <c:tx>
            <c:strRef>
              <c:f>'PC3.04_Ind01'!$B$19</c:f>
              <c:strCache>
                <c:ptCount val="1"/>
                <c:pt idx="0">
                  <c:v>Geologia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'PC3.04_Ind01'!$D$12:$I$12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'PC3.04_Ind01'!$D$20:$I$20</c:f>
              <c:numCache>
                <c:formatCode>0%</c:formatCode>
                <c:ptCount val="6"/>
                <c:pt idx="0" formatCode="General">
                  <c:v>0</c:v>
                </c:pt>
                <c:pt idx="1">
                  <c:v>0.7</c:v>
                </c:pt>
                <c:pt idx="2">
                  <c:v>0.86</c:v>
                </c:pt>
                <c:pt idx="3">
                  <c:v>0.88</c:v>
                </c:pt>
                <c:pt idx="4">
                  <c:v>0.89</c:v>
                </c:pt>
                <c:pt idx="5">
                  <c:v>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8EE-4E72-8FD7-708A0ECBF79C}"/>
            </c:ext>
          </c:extLst>
        </c:ser>
        <c:ser>
          <c:idx val="9"/>
          <c:order val="9"/>
          <c:tx>
            <c:strRef>
              <c:f>'PC3.04_Ind01'!$B$20</c:f>
              <c:strCache>
                <c:ptCount val="1"/>
                <c:pt idx="0">
                  <c:v>Matemàtica Computacional i Analítica de Dades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'PC3.04_Ind01'!$D$12:$I$12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'PC3.04_Ind01'!$D$20:$H$20</c:f>
              <c:numCache>
                <c:formatCode>0%</c:formatCode>
                <c:ptCount val="5"/>
                <c:pt idx="0" formatCode="General">
                  <c:v>0</c:v>
                </c:pt>
                <c:pt idx="1">
                  <c:v>0.7</c:v>
                </c:pt>
                <c:pt idx="2">
                  <c:v>0.86</c:v>
                </c:pt>
                <c:pt idx="3">
                  <c:v>0.88</c:v>
                </c:pt>
                <c:pt idx="4">
                  <c:v>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8EE-4E72-8FD7-708A0ECBF79C}"/>
            </c:ext>
          </c:extLst>
        </c:ser>
        <c:ser>
          <c:idx val="10"/>
          <c:order val="10"/>
          <c:tx>
            <c:strRef>
              <c:f>'PC3.04_Ind01'!$B$20</c:f>
              <c:strCache>
                <c:ptCount val="1"/>
                <c:pt idx="0">
                  <c:v>Matemàtica Computacional i Analítica de Dades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'PC3.04_Ind01'!$D$12:$I$12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'PC3.04_Ind01'!$D$20:$I$20</c:f>
              <c:numCache>
                <c:formatCode>0%</c:formatCode>
                <c:ptCount val="6"/>
                <c:pt idx="0" formatCode="General">
                  <c:v>0</c:v>
                </c:pt>
                <c:pt idx="1">
                  <c:v>0.7</c:v>
                </c:pt>
                <c:pt idx="2">
                  <c:v>0.86</c:v>
                </c:pt>
                <c:pt idx="3">
                  <c:v>0.88</c:v>
                </c:pt>
                <c:pt idx="4">
                  <c:v>0.89</c:v>
                </c:pt>
                <c:pt idx="5">
                  <c:v>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8EE-4E72-8FD7-708A0ECBF79C}"/>
            </c:ext>
          </c:extLst>
        </c:ser>
        <c:ser>
          <c:idx val="11"/>
          <c:order val="11"/>
          <c:tx>
            <c:strRef>
              <c:f>'PC3.04_Ind01'!$B$21</c:f>
              <c:strCache>
                <c:ptCount val="1"/>
                <c:pt idx="0">
                  <c:v>Matemàtiques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'PC3.04_Ind01'!$D$12:$I$12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'PC3.04_Ind01'!$D$21:$I$21</c:f>
              <c:numCache>
                <c:formatCode>0%</c:formatCode>
                <c:ptCount val="6"/>
                <c:pt idx="0">
                  <c:v>0.72</c:v>
                </c:pt>
                <c:pt idx="1">
                  <c:v>0.75</c:v>
                </c:pt>
                <c:pt idx="2">
                  <c:v>0.81</c:v>
                </c:pt>
                <c:pt idx="3">
                  <c:v>0.83</c:v>
                </c:pt>
                <c:pt idx="4">
                  <c:v>0.81499999999999995</c:v>
                </c:pt>
                <c:pt idx="5">
                  <c:v>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8EE-4E72-8FD7-708A0ECBF79C}"/>
            </c:ext>
          </c:extLst>
        </c:ser>
        <c:ser>
          <c:idx val="12"/>
          <c:order val="12"/>
          <c:tx>
            <c:strRef>
              <c:f>'PC3.04_Ind01'!$B$22</c:f>
              <c:strCache>
                <c:ptCount val="1"/>
                <c:pt idx="0">
                  <c:v>Nanociència i Nanotecnologia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'PC3.04_Ind01'!$D$12:$I$12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'PC3.04_Ind01'!$D$22:$H$22</c:f>
              <c:numCache>
                <c:formatCode>0%</c:formatCode>
                <c:ptCount val="5"/>
                <c:pt idx="0">
                  <c:v>0.88</c:v>
                </c:pt>
                <c:pt idx="1">
                  <c:v>0.84</c:v>
                </c:pt>
                <c:pt idx="2">
                  <c:v>0.9</c:v>
                </c:pt>
                <c:pt idx="3">
                  <c:v>0.84</c:v>
                </c:pt>
                <c:pt idx="4">
                  <c:v>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8EE-4E72-8FD7-708A0ECBF79C}"/>
            </c:ext>
          </c:extLst>
        </c:ser>
        <c:ser>
          <c:idx val="13"/>
          <c:order val="13"/>
          <c:tx>
            <c:strRef>
              <c:f>'PC3.04_Ind01'!$B$23</c:f>
              <c:strCache>
                <c:ptCount val="1"/>
                <c:pt idx="0">
                  <c:v>Química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'PC3.04_Ind01'!$D$12:$I$12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'PC3.04_Ind01'!$D$23:$I$23</c:f>
              <c:numCache>
                <c:formatCode>0%</c:formatCode>
                <c:ptCount val="6"/>
                <c:pt idx="0">
                  <c:v>0.76</c:v>
                </c:pt>
                <c:pt idx="1">
                  <c:v>0.78</c:v>
                </c:pt>
                <c:pt idx="2">
                  <c:v>0.81</c:v>
                </c:pt>
                <c:pt idx="3">
                  <c:v>0.76</c:v>
                </c:pt>
                <c:pt idx="4">
                  <c:v>0.76</c:v>
                </c:pt>
                <c:pt idx="5">
                  <c:v>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8EE-4E72-8FD7-708A0ECBF79C}"/>
            </c:ext>
          </c:extLst>
        </c:ser>
        <c:ser>
          <c:idx val="14"/>
          <c:order val="14"/>
          <c:tx>
            <c:strRef>
              <c:f>'PC3.04_Ind01'!$B$24</c:f>
              <c:strCache>
                <c:ptCount val="1"/>
                <c:pt idx="0">
                  <c:v>Estudis Interdisciplinaris en Sostenibilitat Ambiental, Econòmica i Social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'PC3.04_Ind01'!$D$12:$I$12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'PC3.04_Ind01'!$D$24:$I$24</c:f>
              <c:numCache>
                <c:formatCode>0%</c:formatCode>
                <c:ptCount val="6"/>
                <c:pt idx="0">
                  <c:v>0.94</c:v>
                </c:pt>
                <c:pt idx="1">
                  <c:v>0.98</c:v>
                </c:pt>
                <c:pt idx="2">
                  <c:v>0.89</c:v>
                </c:pt>
                <c:pt idx="3">
                  <c:v>0.96</c:v>
                </c:pt>
                <c:pt idx="4">
                  <c:v>0.99</c:v>
                </c:pt>
                <c:pt idx="5">
                  <c:v>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8EE-4E72-8FD7-708A0ECBF79C}"/>
            </c:ext>
          </c:extLst>
        </c:ser>
        <c:ser>
          <c:idx val="15"/>
          <c:order val="15"/>
          <c:tx>
            <c:strRef>
              <c:f>'PC3.04_Ind01'!$B$25</c:f>
              <c:strCache>
                <c:ptCount val="1"/>
                <c:pt idx="0">
                  <c:v>Física d'Altes Energies, Astrofísica i Cosmologia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'PC3.04_Ind01'!$D$12:$I$12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'PC3.04_Ind01'!$D$25:$I$25</c:f>
              <c:numCache>
                <c:formatCode>0%</c:formatCode>
                <c:ptCount val="6"/>
                <c:pt idx="0">
                  <c:v>0.84</c:v>
                </c:pt>
                <c:pt idx="1">
                  <c:v>0.94</c:v>
                </c:pt>
                <c:pt idx="2">
                  <c:v>0.86</c:v>
                </c:pt>
                <c:pt idx="3">
                  <c:v>0.9</c:v>
                </c:pt>
                <c:pt idx="4">
                  <c:v>0.93</c:v>
                </c:pt>
                <c:pt idx="5">
                  <c:v>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8EE-4E72-8FD7-708A0ECBF79C}"/>
            </c:ext>
          </c:extLst>
        </c:ser>
        <c:ser>
          <c:idx val="16"/>
          <c:order val="16"/>
          <c:tx>
            <c:strRef>
              <c:f>'PC3.04_Ind01'!$B$26</c:f>
              <c:strCache>
                <c:ptCount val="1"/>
                <c:pt idx="0">
                  <c:v>Història de la Ciència. Ciència, Història i Societat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'PC3.04_Ind01'!$D$12:$I$12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'PC3.04_Ind01'!$D$26:$I$26</c:f>
              <c:numCache>
                <c:formatCode>0%</c:formatCode>
                <c:ptCount val="6"/>
                <c:pt idx="0">
                  <c:v>0.94</c:v>
                </c:pt>
                <c:pt idx="1">
                  <c:v>0.95</c:v>
                </c:pt>
                <c:pt idx="2">
                  <c:v>0.95</c:v>
                </c:pt>
                <c:pt idx="3">
                  <c:v>0.97</c:v>
                </c:pt>
                <c:pt idx="4">
                  <c:v>0.99</c:v>
                </c:pt>
                <c:pt idx="5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EE-4E72-8FD7-708A0ECBF79C}"/>
            </c:ext>
          </c:extLst>
        </c:ser>
        <c:ser>
          <c:idx val="17"/>
          <c:order val="17"/>
          <c:tx>
            <c:strRef>
              <c:f>'PC3.04_Ind01'!$B$27</c:f>
              <c:strCache>
                <c:ptCount val="1"/>
                <c:pt idx="0">
                  <c:v>Modelització per a la Ciència i l'Enginyeria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'PC3.04_Ind01'!$D$12:$I$12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'PC3.04_Ind01'!$D$27:$I$27</c:f>
              <c:numCache>
                <c:formatCode>0%</c:formatCode>
                <c:ptCount val="6"/>
                <c:pt idx="0">
                  <c:v>0.97</c:v>
                </c:pt>
                <c:pt idx="1">
                  <c:v>0.93</c:v>
                </c:pt>
                <c:pt idx="2">
                  <c:v>0.97</c:v>
                </c:pt>
                <c:pt idx="3">
                  <c:v>0.94</c:v>
                </c:pt>
                <c:pt idx="4">
                  <c:v>0.94</c:v>
                </c:pt>
                <c:pt idx="5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8EE-4E72-8FD7-708A0ECBF79C}"/>
            </c:ext>
          </c:extLst>
        </c:ser>
        <c:ser>
          <c:idx val="18"/>
          <c:order val="18"/>
          <c:tx>
            <c:strRef>
              <c:f>'PC3.04_Ind01'!$B$28</c:f>
              <c:strCache>
                <c:ptCount val="1"/>
                <c:pt idx="0">
                  <c:v>Nanociència i Nanotecnologia Avançades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'PC3.04_Ind01'!$D$12:$I$12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'PC3.04_Ind01'!$D$28:$I$28</c:f>
              <c:numCache>
                <c:formatCode>0%</c:formatCode>
                <c:ptCount val="6"/>
                <c:pt idx="0">
                  <c:v>0.83</c:v>
                </c:pt>
                <c:pt idx="1">
                  <c:v>0.9</c:v>
                </c:pt>
                <c:pt idx="2">
                  <c:v>0.86</c:v>
                </c:pt>
                <c:pt idx="3">
                  <c:v>0.86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8EE-4E72-8FD7-708A0ECBF79C}"/>
            </c:ext>
          </c:extLst>
        </c:ser>
        <c:ser>
          <c:idx val="19"/>
          <c:order val="19"/>
          <c:tx>
            <c:strRef>
              <c:f>'PC3.04_Ind01'!$B$29</c:f>
              <c:strCache>
                <c:ptCount val="1"/>
                <c:pt idx="0">
                  <c:v>Paleobiologia i Registre Fòssil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'PC3.04_Ind01'!$D$12:$I$12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'PC3.04_Ind01'!$D$29:$I$29</c:f>
              <c:numCache>
                <c:formatCode>0%</c:formatCode>
                <c:ptCount val="6"/>
                <c:pt idx="0">
                  <c:v>1</c:v>
                </c:pt>
                <c:pt idx="1">
                  <c:v>1</c:v>
                </c:pt>
                <c:pt idx="2">
                  <c:v>0.98</c:v>
                </c:pt>
                <c:pt idx="3">
                  <c:v>0.96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8EE-4E72-8FD7-708A0ECBF79C}"/>
            </c:ext>
          </c:extLst>
        </c:ser>
        <c:ser>
          <c:idx val="20"/>
          <c:order val="20"/>
          <c:tx>
            <c:strRef>
              <c:f>'PC3.04_Ind01'!$B$30</c:f>
              <c:strCache>
                <c:ptCount val="1"/>
                <c:pt idx="0">
                  <c:v> Química Industrial i Introducció a la Recerca de la Química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'PC3.04_Ind01'!$D$12:$I$12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'PC3.04_Ind01'!$D$30:$I$30</c:f>
              <c:numCache>
                <c:formatCode>0%</c:formatCode>
                <c:ptCount val="6"/>
                <c:pt idx="0">
                  <c:v>1</c:v>
                </c:pt>
                <c:pt idx="1">
                  <c:v>0.97</c:v>
                </c:pt>
                <c:pt idx="2">
                  <c:v>0.72</c:v>
                </c:pt>
                <c:pt idx="3">
                  <c:v>0.99</c:v>
                </c:pt>
                <c:pt idx="4">
                  <c:v>0.96</c:v>
                </c:pt>
                <c:pt idx="5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8EE-4E72-8FD7-708A0ECBF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33134320"/>
        <c:axId val="1331875968"/>
      </c:barChart>
      <c:lineChart>
        <c:grouping val="standard"/>
        <c:varyColors val="0"/>
        <c:ser>
          <c:idx val="21"/>
          <c:order val="21"/>
          <c:tx>
            <c:strRef>
              <c:f>'PC3.04_Ind01'!$B$33</c:f>
              <c:strCache>
                <c:ptCount val="1"/>
                <c:pt idx="0">
                  <c:v>Valor objectiu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4">
                    <a:lumMod val="8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'PC3.04_Ind01'!$D$12:$H$12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'PC3.04_Ind01'!$D$33:$I$33</c:f>
              <c:numCache>
                <c:formatCode>0%</c:formatCode>
                <c:ptCount val="6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8EE-4E72-8FD7-708A0ECBF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3134320"/>
        <c:axId val="1331875968"/>
      </c:lineChart>
      <c:catAx>
        <c:axId val="133313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31875968"/>
        <c:crosses val="autoZero"/>
        <c:auto val="1"/>
        <c:lblAlgn val="ctr"/>
        <c:lblOffset val="100"/>
        <c:noMultiLvlLbl val="0"/>
      </c:catAx>
      <c:valAx>
        <c:axId val="133187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33134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58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a-ES" sz="900" b="1">
                <a:effectLst/>
              </a:rPr>
              <a:t>PC3.04_Ind02. Puntuació mitjana a l’afirmació “El sistema d’avaluació s’explica clarament a la Guia Docent de l’assignatura” de l’enquesta de satisfacció d’assignatura dels graus i de mòdul dels màsters</a:t>
            </a:r>
            <a:endParaRPr lang="ca-ES" sz="9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'PC3.04_Ind02 '!$B$35</c:f>
              <c:strCache>
                <c:ptCount val="1"/>
                <c:pt idx="0">
                  <c:v>9. Gràfic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'PC3.04_Ind02 '!$D$11:$H$11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'PC3.04_Ind02 '!$C$35:$E$35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0152-42CB-8478-8829843D50D5}"/>
            </c:ext>
          </c:extLst>
        </c:ser>
        <c:ser>
          <c:idx val="1"/>
          <c:order val="1"/>
          <c:tx>
            <c:strRef>
              <c:f>'PC3.04_Ind02 '!$B$11:$C$11</c:f>
              <c:strCache>
                <c:ptCount val="2"/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'PC3.04_Ind02 '!$D$11:$H$11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'PC3.04_Ind02 '!$D$11:$H$11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52-42CB-8478-8829843D50D5}"/>
            </c:ext>
          </c:extLst>
        </c:ser>
        <c:ser>
          <c:idx val="2"/>
          <c:order val="2"/>
          <c:tx>
            <c:strRef>
              <c:f>'PC3.04_Ind02 '!$B$12:$C$12</c:f>
              <c:strCache>
                <c:ptCount val="2"/>
                <c:pt idx="0">
                  <c:v>Ciències Ambientals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'PC3.04_Ind02 '!$D$11:$H$11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'PC3.04_Ind02 '!$D$12:$H$12</c:f>
              <c:numCache>
                <c:formatCode>General</c:formatCode>
                <c:ptCount val="5"/>
                <c:pt idx="0">
                  <c:v>3.3550000000000004</c:v>
                </c:pt>
                <c:pt idx="1">
                  <c:v>3.42</c:v>
                </c:pt>
                <c:pt idx="2">
                  <c:v>3.3149999999999999</c:v>
                </c:pt>
                <c:pt idx="3">
                  <c:v>3.34</c:v>
                </c:pt>
                <c:pt idx="4">
                  <c:v>3.28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52-42CB-8478-8829843D50D5}"/>
            </c:ext>
          </c:extLst>
        </c:ser>
        <c:ser>
          <c:idx val="3"/>
          <c:order val="3"/>
          <c:tx>
            <c:strRef>
              <c:f>'PC3.04_Ind02 '!$B$13:$C$13</c:f>
              <c:strCache>
                <c:ptCount val="2"/>
                <c:pt idx="0">
                  <c:v>Ciències Ambientals + Geologia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'PC3.04_Ind02 '!$D$11:$H$11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'PC3.04_Ind02 '!$D$13:$H$13</c:f>
              <c:numCache>
                <c:formatCode>General</c:formatCode>
                <c:ptCount val="5"/>
                <c:pt idx="0">
                  <c:v>0</c:v>
                </c:pt>
                <c:pt idx="1">
                  <c:v>3.29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52-42CB-8478-8829843D50D5}"/>
            </c:ext>
          </c:extLst>
        </c:ser>
        <c:ser>
          <c:idx val="4"/>
          <c:order val="4"/>
          <c:tx>
            <c:strRef>
              <c:f>'PC3.04_Ind02 '!$B$14:$C$14</c:f>
              <c:strCache>
                <c:ptCount val="2"/>
                <c:pt idx="0">
                  <c:v>Estadística Aplicada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'PC3.04_Ind02 '!$D$11:$H$11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'PC3.04_Ind02 '!$D$14:$H$14</c:f>
              <c:numCache>
                <c:formatCode>General</c:formatCode>
                <c:ptCount val="5"/>
                <c:pt idx="0">
                  <c:v>3.29</c:v>
                </c:pt>
                <c:pt idx="1">
                  <c:v>3.21</c:v>
                </c:pt>
                <c:pt idx="2">
                  <c:v>2.86</c:v>
                </c:pt>
                <c:pt idx="3">
                  <c:v>3.53</c:v>
                </c:pt>
                <c:pt idx="4">
                  <c:v>3.43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52-42CB-8478-8829843D50D5}"/>
            </c:ext>
          </c:extLst>
        </c:ser>
        <c:ser>
          <c:idx val="5"/>
          <c:order val="5"/>
          <c:tx>
            <c:strRef>
              <c:f>'PC3.04_Ind02 '!$B$15:$C$15</c:f>
              <c:strCache>
                <c:ptCount val="2"/>
                <c:pt idx="0">
                  <c:v>Física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'PC3.04_Ind02 '!$D$11:$H$11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'PC3.04_Ind02 '!$D$15:$H$15</c:f>
              <c:numCache>
                <c:formatCode>General</c:formatCode>
                <c:ptCount val="5"/>
                <c:pt idx="0">
                  <c:v>3.4649999999999999</c:v>
                </c:pt>
                <c:pt idx="1">
                  <c:v>3.42</c:v>
                </c:pt>
                <c:pt idx="2">
                  <c:v>3.42</c:v>
                </c:pt>
                <c:pt idx="3">
                  <c:v>3.58</c:v>
                </c:pt>
                <c:pt idx="4">
                  <c:v>3.55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52-42CB-8478-8829843D50D5}"/>
            </c:ext>
          </c:extLst>
        </c:ser>
        <c:ser>
          <c:idx val="6"/>
          <c:order val="6"/>
          <c:tx>
            <c:strRef>
              <c:f>'PC3.04_Ind02 '!$B$16:$C$16</c:f>
              <c:strCache>
                <c:ptCount val="2"/>
                <c:pt idx="0">
                  <c:v>Física + Matemàtiques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'PC3.04_Ind02 '!$D$11:$H$11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'PC3.04_Ind02 '!$D$16:$H$16</c:f>
              <c:numCache>
                <c:formatCode>General</c:formatCode>
                <c:ptCount val="5"/>
                <c:pt idx="0">
                  <c:v>0</c:v>
                </c:pt>
                <c:pt idx="1">
                  <c:v>3.49</c:v>
                </c:pt>
                <c:pt idx="2">
                  <c:v>3.48</c:v>
                </c:pt>
                <c:pt idx="3">
                  <c:v>3.67</c:v>
                </c:pt>
                <c:pt idx="4">
                  <c:v>3.57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152-42CB-8478-8829843D50D5}"/>
            </c:ext>
          </c:extLst>
        </c:ser>
        <c:ser>
          <c:idx val="7"/>
          <c:order val="7"/>
          <c:tx>
            <c:strRef>
              <c:f>'PC3.04_Ind02 '!$B$17:$C$17</c:f>
              <c:strCache>
                <c:ptCount val="2"/>
                <c:pt idx="0">
                  <c:v>Física + Química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'PC3.04_Ind02 '!$D$11:$H$11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'PC3.04_Ind02 '!$D$17:$H$17</c:f>
              <c:numCache>
                <c:formatCode>General</c:formatCode>
                <c:ptCount val="5"/>
                <c:pt idx="0">
                  <c:v>0</c:v>
                </c:pt>
                <c:pt idx="1">
                  <c:v>3.51</c:v>
                </c:pt>
                <c:pt idx="2">
                  <c:v>3.395</c:v>
                </c:pt>
                <c:pt idx="3">
                  <c:v>3.33</c:v>
                </c:pt>
                <c:pt idx="4">
                  <c:v>3.57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152-42CB-8478-8829843D50D5}"/>
            </c:ext>
          </c:extLst>
        </c:ser>
        <c:ser>
          <c:idx val="8"/>
          <c:order val="8"/>
          <c:tx>
            <c:strRef>
              <c:f>'PC3.04_Ind02 '!$B$18:$C$18</c:f>
              <c:strCache>
                <c:ptCount val="2"/>
                <c:pt idx="0">
                  <c:v>Geologia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'PC3.04_Ind02 '!$D$11:$H$11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'PC3.04_Ind02 '!$D$18:$H$18</c:f>
              <c:numCache>
                <c:formatCode>General</c:formatCode>
                <c:ptCount val="5"/>
                <c:pt idx="0">
                  <c:v>3.1749999999999998</c:v>
                </c:pt>
                <c:pt idx="1">
                  <c:v>3.15</c:v>
                </c:pt>
                <c:pt idx="2">
                  <c:v>3.1799999999999997</c:v>
                </c:pt>
                <c:pt idx="3">
                  <c:v>3.35</c:v>
                </c:pt>
                <c:pt idx="4">
                  <c:v>3.17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152-42CB-8478-8829843D50D5}"/>
            </c:ext>
          </c:extLst>
        </c:ser>
        <c:ser>
          <c:idx val="9"/>
          <c:order val="9"/>
          <c:tx>
            <c:strRef>
              <c:f>'PC3.04_Ind02 '!$B$19:$C$19</c:f>
              <c:strCache>
                <c:ptCount val="2"/>
                <c:pt idx="0">
                  <c:v>Matemàtica Computacional i Analítica de Dades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'PC3.04_Ind02 '!$D$11:$H$11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'PC3.04_Ind02 '!$D$19:$H$19</c:f>
              <c:numCache>
                <c:formatCode>General</c:formatCode>
                <c:ptCount val="5"/>
                <c:pt idx="0">
                  <c:v>3.49</c:v>
                </c:pt>
                <c:pt idx="1">
                  <c:v>3.58</c:v>
                </c:pt>
                <c:pt idx="2">
                  <c:v>3.4249999999999998</c:v>
                </c:pt>
                <c:pt idx="3">
                  <c:v>3.47</c:v>
                </c:pt>
                <c:pt idx="4">
                  <c:v>3.37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52-42CB-8478-8829843D50D5}"/>
            </c:ext>
          </c:extLst>
        </c:ser>
        <c:ser>
          <c:idx val="10"/>
          <c:order val="10"/>
          <c:tx>
            <c:strRef>
              <c:f>'PC3.04_Ind02 '!$B$20:$C$20</c:f>
              <c:strCache>
                <c:ptCount val="2"/>
                <c:pt idx="0">
                  <c:v>Matemàtiques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'PC3.04_Ind02 '!$D$11:$H$11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'PC3.04_Ind02 '!$D$20:$H$20</c:f>
              <c:numCache>
                <c:formatCode>General</c:formatCode>
                <c:ptCount val="5"/>
                <c:pt idx="0">
                  <c:v>3.2149999999999999</c:v>
                </c:pt>
                <c:pt idx="1">
                  <c:v>3.6</c:v>
                </c:pt>
                <c:pt idx="2">
                  <c:v>3.62</c:v>
                </c:pt>
                <c:pt idx="3">
                  <c:v>3.62</c:v>
                </c:pt>
                <c:pt idx="4">
                  <c:v>3.63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152-42CB-8478-8829843D50D5}"/>
            </c:ext>
          </c:extLst>
        </c:ser>
        <c:ser>
          <c:idx val="11"/>
          <c:order val="11"/>
          <c:tx>
            <c:strRef>
              <c:f>'PC3.04_Ind02 '!$B$21:$C$21</c:f>
              <c:strCache>
                <c:ptCount val="2"/>
                <c:pt idx="0">
                  <c:v>Nanociència i Nanotecnologia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'PC3.04_Ind02 '!$D$11:$H$11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'PC3.04_Ind02 '!$D$21:$H$21</c:f>
              <c:numCache>
                <c:formatCode>General</c:formatCode>
                <c:ptCount val="5"/>
                <c:pt idx="0">
                  <c:v>3.3650000000000002</c:v>
                </c:pt>
                <c:pt idx="1">
                  <c:v>3.48</c:v>
                </c:pt>
                <c:pt idx="2">
                  <c:v>3.34</c:v>
                </c:pt>
                <c:pt idx="3">
                  <c:v>3.53</c:v>
                </c:pt>
                <c:pt idx="4">
                  <c:v>3.61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152-42CB-8478-8829843D50D5}"/>
            </c:ext>
          </c:extLst>
        </c:ser>
        <c:ser>
          <c:idx val="12"/>
          <c:order val="12"/>
          <c:tx>
            <c:strRef>
              <c:f>'PC3.04_Ind02 '!#REF!</c:f>
              <c:strCache>
                <c:ptCount val="1"/>
                <c:pt idx="0">
                  <c:v>#¡REF!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'PC3.04_Ind02 '!$D$11:$H$11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'PC3.04_Ind02 '!$D$22:$G$22</c:f>
              <c:numCache>
                <c:formatCode>General</c:formatCode>
                <c:ptCount val="4"/>
                <c:pt idx="0">
                  <c:v>3.51</c:v>
                </c:pt>
                <c:pt idx="1">
                  <c:v>3.51</c:v>
                </c:pt>
                <c:pt idx="2">
                  <c:v>3.4450000000000003</c:v>
                </c:pt>
                <c:pt idx="3">
                  <c:v>3.56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152-42CB-8478-8829843D50D5}"/>
            </c:ext>
          </c:extLst>
        </c:ser>
        <c:ser>
          <c:idx val="14"/>
          <c:order val="14"/>
          <c:tx>
            <c:strRef>
              <c:f>'PC3.04_Ind02 '!$B$23:$C$23</c:f>
              <c:strCache>
                <c:ptCount val="2"/>
                <c:pt idx="0">
                  <c:v>Estudis Interdisciplinaris en Sostenibilitat Ambiental, Econòmica i Social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'PC3.04_Ind02 '!$D$23:$H$23</c:f>
              <c:numCache>
                <c:formatCode>General</c:formatCode>
                <c:ptCount val="5"/>
                <c:pt idx="0">
                  <c:v>3.1</c:v>
                </c:pt>
                <c:pt idx="1">
                  <c:v>3.23</c:v>
                </c:pt>
                <c:pt idx="2">
                  <c:v>0</c:v>
                </c:pt>
                <c:pt idx="3">
                  <c:v>3.7</c:v>
                </c:pt>
                <c:pt idx="4">
                  <c:v>3.58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152-42CB-8478-8829843D50D5}"/>
            </c:ext>
          </c:extLst>
        </c:ser>
        <c:ser>
          <c:idx val="15"/>
          <c:order val="15"/>
          <c:tx>
            <c:strRef>
              <c:f>'PC3.04_Ind02 '!$B$24:$C$24</c:f>
              <c:strCache>
                <c:ptCount val="2"/>
                <c:pt idx="0">
                  <c:v>Física d'Altes Energies, Astrofísica i Cosmologia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'PC3.04_Ind02 '!$D$24:$H$24</c:f>
              <c:numCache>
                <c:formatCode>General</c:formatCode>
                <c:ptCount val="5"/>
                <c:pt idx="0">
                  <c:v>3.4</c:v>
                </c:pt>
                <c:pt idx="1">
                  <c:v>3.2</c:v>
                </c:pt>
                <c:pt idx="2">
                  <c:v>0</c:v>
                </c:pt>
                <c:pt idx="3">
                  <c:v>3.35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152-42CB-8478-8829843D50D5}"/>
            </c:ext>
          </c:extLst>
        </c:ser>
        <c:ser>
          <c:idx val="16"/>
          <c:order val="16"/>
          <c:tx>
            <c:strRef>
              <c:f>'PC3.04_Ind02 '!$B$25:$C$25</c:f>
              <c:strCache>
                <c:ptCount val="2"/>
                <c:pt idx="0">
                  <c:v>Història de la Ciència: Ciència, Història i Societat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'PC3.04_Ind02 '!$D$25:$H$25</c:f>
              <c:numCache>
                <c:formatCode>General</c:formatCode>
                <c:ptCount val="5"/>
                <c:pt idx="0">
                  <c:v>3.8</c:v>
                </c:pt>
                <c:pt idx="1">
                  <c:v>3.56</c:v>
                </c:pt>
                <c:pt idx="2">
                  <c:v>3.95</c:v>
                </c:pt>
                <c:pt idx="3">
                  <c:v>3.67</c:v>
                </c:pt>
                <c:pt idx="4">
                  <c:v>3.72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152-42CB-8478-8829843D50D5}"/>
            </c:ext>
          </c:extLst>
        </c:ser>
        <c:ser>
          <c:idx val="18"/>
          <c:order val="17"/>
          <c:tx>
            <c:strRef>
              <c:f>'PC3.04_Ind02 '!$B$27:$C$27</c:f>
              <c:strCache>
                <c:ptCount val="2"/>
                <c:pt idx="0">
                  <c:v>Nanociència i Nanotecnologia Avançades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'PC3.04_Ind02 '!$D$27:$H$27</c:f>
              <c:numCache>
                <c:formatCode>General</c:formatCode>
                <c:ptCount val="5"/>
                <c:pt idx="0">
                  <c:v>3.17</c:v>
                </c:pt>
                <c:pt idx="1">
                  <c:v>3.17</c:v>
                </c:pt>
                <c:pt idx="2">
                  <c:v>0</c:v>
                </c:pt>
                <c:pt idx="3">
                  <c:v>2.2999999999999998</c:v>
                </c:pt>
                <c:pt idx="4">
                  <c:v>3.11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152-42CB-8478-8829843D50D5}"/>
            </c:ext>
          </c:extLst>
        </c:ser>
        <c:ser>
          <c:idx val="17"/>
          <c:order val="18"/>
          <c:tx>
            <c:strRef>
              <c:f>'PC3.04_Ind02 '!$B$28:$C$28</c:f>
              <c:strCache>
                <c:ptCount val="2"/>
                <c:pt idx="0">
                  <c:v>Paleobiologia i Registre Fòssil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'PC3.04_Ind02 '!$D$29:$H$29</c:f>
              <c:numCache>
                <c:formatCode>General</c:formatCode>
                <c:ptCount val="5"/>
                <c:pt idx="0">
                  <c:v>3.13</c:v>
                </c:pt>
                <c:pt idx="1">
                  <c:v>2.4700000000000002</c:v>
                </c:pt>
                <c:pt idx="2">
                  <c:v>0</c:v>
                </c:pt>
                <c:pt idx="3">
                  <c:v>0</c:v>
                </c:pt>
                <c:pt idx="4">
                  <c:v>3.45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152-42CB-8478-8829843D50D5}"/>
            </c:ext>
          </c:extLst>
        </c:ser>
        <c:ser>
          <c:idx val="19"/>
          <c:order val="19"/>
          <c:tx>
            <c:strRef>
              <c:f>'PC3.04_Ind02 '!$B$29:$C$29</c:f>
              <c:strCache>
                <c:ptCount val="2"/>
                <c:pt idx="0">
                  <c:v>Química Industrial i Introducció a la Recerca Química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'PC3.04_Ind02 '!$D$29:$G$29</c:f>
              <c:numCache>
                <c:formatCode>General</c:formatCode>
                <c:ptCount val="4"/>
                <c:pt idx="0">
                  <c:v>3.13</c:v>
                </c:pt>
                <c:pt idx="1">
                  <c:v>2.4700000000000002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152-42CB-8478-8829843D50D5}"/>
            </c:ext>
          </c:extLst>
        </c:ser>
        <c:ser>
          <c:idx val="20"/>
          <c:order val="20"/>
          <c:tx>
            <c:strRef>
              <c:f>'PC3.04_Ind02 '!$B$26:$C$26</c:f>
              <c:strCache>
                <c:ptCount val="2"/>
                <c:pt idx="0">
                  <c:v>Modelització per a la Ciència i l'Enginyeria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'PC3.04_Ind02 '!$D$26:$H$26</c:f>
              <c:numCache>
                <c:formatCode>General</c:formatCode>
                <c:ptCount val="5"/>
                <c:pt idx="0">
                  <c:v>2.8</c:v>
                </c:pt>
                <c:pt idx="1">
                  <c:v>3.52</c:v>
                </c:pt>
                <c:pt idx="2">
                  <c:v>3.47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4D-4951-BA84-C3FE6AA26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5626864"/>
        <c:axId val="930055728"/>
      </c:barChart>
      <c:lineChart>
        <c:grouping val="standard"/>
        <c:varyColors val="0"/>
        <c:ser>
          <c:idx val="13"/>
          <c:order val="13"/>
          <c:tx>
            <c:strRef>
              <c:f>'PC3.04_Ind02 '!$B$32</c:f>
              <c:strCache>
                <c:ptCount val="1"/>
                <c:pt idx="0">
                  <c:v>Valor objectiu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>
                    <a:lumMod val="80000"/>
                    <a:lumOff val="2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'PC3.04_Ind02 '!$D$11:$H$11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'PC3.04_Ind02 '!$D$32:$H$32</c:f>
              <c:numCache>
                <c:formatCode>0.00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152-42CB-8478-8829843D5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5626864"/>
        <c:axId val="930055728"/>
      </c:lineChart>
      <c:catAx>
        <c:axId val="161562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930055728"/>
        <c:crosses val="autoZero"/>
        <c:auto val="1"/>
        <c:lblAlgn val="ctr"/>
        <c:lblOffset val="100"/>
        <c:noMultiLvlLbl val="0"/>
      </c:catAx>
      <c:valAx>
        <c:axId val="93005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615626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5806453793945039E-2"/>
          <c:y val="0.61451726568005638"/>
          <c:w val="0.68284537080523611"/>
          <c:h val="0.385482734319943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a-ES" sz="900" b="1">
                <a:effectLst/>
              </a:rPr>
              <a:t>PC3.04_Ind03. Valoració mitjana a l’afirmació “Els continguts de les proves i altres activitats d’avaluació es corresponen amb els continguts del curs i també amb el temps que el professorat va dedicar a cada tema”</a:t>
            </a:r>
            <a:endParaRPr lang="ca-ES" sz="9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3.3216894174458687E-2"/>
          <c:y val="0.17447876707719229"/>
          <c:w val="0.96678310582554128"/>
          <c:h val="0.37272494784305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'PC3.04_Ind03'!$B$35</c:f>
              <c:strCache>
                <c:ptCount val="1"/>
                <c:pt idx="0">
                  <c:v>9. Gràfic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'PC3.04_Ind03'!$D$11:$I$11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'PC3.04_Ind03'!$C$35:$E$35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C572-47F9-A59B-0A8B3917C523}"/>
            </c:ext>
          </c:extLst>
        </c:ser>
        <c:ser>
          <c:idx val="1"/>
          <c:order val="1"/>
          <c:tx>
            <c:strRef>
              <c:f>'PC3.04_Ind03'!$B$11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'PC3.04_Ind03'!$D$11:$I$11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'PC3.04_Ind03'!$D$11:$H$11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72-47F9-A59B-0A8B3917C523}"/>
            </c:ext>
          </c:extLst>
        </c:ser>
        <c:ser>
          <c:idx val="2"/>
          <c:order val="2"/>
          <c:tx>
            <c:strRef>
              <c:f>'PC3.04_Ind03'!$B$12</c:f>
              <c:strCache>
                <c:ptCount val="1"/>
                <c:pt idx="0">
                  <c:v>Ciències Ambientals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'PC3.04_Ind03'!$D$11:$I$11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'PC3.04_Ind03'!$D$12:$I$12</c:f>
              <c:numCache>
                <c:formatCode>General</c:formatCode>
                <c:ptCount val="6"/>
                <c:pt idx="0">
                  <c:v>2.7249999999999996</c:v>
                </c:pt>
                <c:pt idx="1">
                  <c:v>2.9299999999999997</c:v>
                </c:pt>
                <c:pt idx="2">
                  <c:v>3.05</c:v>
                </c:pt>
                <c:pt idx="3">
                  <c:v>2.9049999999999998</c:v>
                </c:pt>
                <c:pt idx="4">
                  <c:v>3.05</c:v>
                </c:pt>
                <c:pt idx="5">
                  <c:v>3.05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72-47F9-A59B-0A8B3917C523}"/>
            </c:ext>
          </c:extLst>
        </c:ser>
        <c:ser>
          <c:idx val="3"/>
          <c:order val="3"/>
          <c:tx>
            <c:strRef>
              <c:f>'PC3.04_Ind03'!$B$13</c:f>
              <c:strCache>
                <c:ptCount val="1"/>
                <c:pt idx="0">
                  <c:v>Ciències Ambientals + Geologia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'PC3.04_Ind03'!$D$11:$I$11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'PC3.04_Ind03'!$D$13:$I$13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2.94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72-47F9-A59B-0A8B3917C523}"/>
            </c:ext>
          </c:extLst>
        </c:ser>
        <c:ser>
          <c:idx val="4"/>
          <c:order val="4"/>
          <c:tx>
            <c:strRef>
              <c:f>'PC3.04_Ind03'!$B$14</c:f>
              <c:strCache>
                <c:ptCount val="1"/>
                <c:pt idx="0">
                  <c:v>Estadística Aplicada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'PC3.04_Ind03'!$D$11:$I$11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'PC3.04_Ind03'!$D$14:$I$14</c:f>
              <c:numCache>
                <c:formatCode>General</c:formatCode>
                <c:ptCount val="6"/>
                <c:pt idx="0">
                  <c:v>2.855</c:v>
                </c:pt>
                <c:pt idx="1">
                  <c:v>2.99</c:v>
                </c:pt>
                <c:pt idx="2">
                  <c:v>3.07</c:v>
                </c:pt>
                <c:pt idx="3">
                  <c:v>2.33</c:v>
                </c:pt>
                <c:pt idx="4">
                  <c:v>3.05</c:v>
                </c:pt>
                <c:pt idx="5">
                  <c:v>3.08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72-47F9-A59B-0A8B3917C523}"/>
            </c:ext>
          </c:extLst>
        </c:ser>
        <c:ser>
          <c:idx val="5"/>
          <c:order val="5"/>
          <c:tx>
            <c:strRef>
              <c:f>'PC3.04_Ind03'!$B$15</c:f>
              <c:strCache>
                <c:ptCount val="1"/>
                <c:pt idx="0">
                  <c:v>Física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'PC3.04_Ind03'!$D$11:$I$11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'PC3.04_Ind03'!$D$15:$I$15</c:f>
              <c:numCache>
                <c:formatCode>General</c:formatCode>
                <c:ptCount val="6"/>
                <c:pt idx="0">
                  <c:v>2.6399999999999997</c:v>
                </c:pt>
                <c:pt idx="1">
                  <c:v>2.96</c:v>
                </c:pt>
                <c:pt idx="2">
                  <c:v>2.67</c:v>
                </c:pt>
                <c:pt idx="3">
                  <c:v>3</c:v>
                </c:pt>
                <c:pt idx="4">
                  <c:v>3.08</c:v>
                </c:pt>
                <c:pt idx="5">
                  <c:v>2.97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72-47F9-A59B-0A8B3917C523}"/>
            </c:ext>
          </c:extLst>
        </c:ser>
        <c:ser>
          <c:idx val="6"/>
          <c:order val="6"/>
          <c:tx>
            <c:strRef>
              <c:f>'PC3.04_Ind03'!$B$16</c:f>
              <c:strCache>
                <c:ptCount val="1"/>
                <c:pt idx="0">
                  <c:v>Física + Matemàtiques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'PC3.04_Ind03'!$D$11:$I$11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'PC3.04_Ind03'!$D$16:$I$16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2.82</c:v>
                </c:pt>
                <c:pt idx="3">
                  <c:v>3.085</c:v>
                </c:pt>
                <c:pt idx="4">
                  <c:v>2.94</c:v>
                </c:pt>
                <c:pt idx="5">
                  <c:v>2.79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572-47F9-A59B-0A8B3917C523}"/>
            </c:ext>
          </c:extLst>
        </c:ser>
        <c:ser>
          <c:idx val="7"/>
          <c:order val="7"/>
          <c:tx>
            <c:strRef>
              <c:f>'PC3.04_Ind03'!$B$17</c:f>
              <c:strCache>
                <c:ptCount val="1"/>
                <c:pt idx="0">
                  <c:v>Física + Química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'PC3.04_Ind03'!$D$11:$I$11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'PC3.04_Ind03'!$D$17:$I$17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2.89</c:v>
                </c:pt>
                <c:pt idx="3">
                  <c:v>2.7649999999999997</c:v>
                </c:pt>
                <c:pt idx="4">
                  <c:v>2.76</c:v>
                </c:pt>
                <c:pt idx="5">
                  <c:v>2.79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572-47F9-A59B-0A8B3917C523}"/>
            </c:ext>
          </c:extLst>
        </c:ser>
        <c:ser>
          <c:idx val="8"/>
          <c:order val="8"/>
          <c:tx>
            <c:strRef>
              <c:f>'PC3.04_Ind03'!$B$18</c:f>
              <c:strCache>
                <c:ptCount val="1"/>
                <c:pt idx="0">
                  <c:v>Geologia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'PC3.04_Ind03'!$D$11:$I$11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'PC3.04_Ind03'!$D$18:$I$18</c:f>
              <c:numCache>
                <c:formatCode>General</c:formatCode>
                <c:ptCount val="6"/>
                <c:pt idx="0">
                  <c:v>2.6799999999999997</c:v>
                </c:pt>
                <c:pt idx="1">
                  <c:v>2.6850000000000001</c:v>
                </c:pt>
                <c:pt idx="2">
                  <c:v>2.81</c:v>
                </c:pt>
                <c:pt idx="3">
                  <c:v>2.91</c:v>
                </c:pt>
                <c:pt idx="4">
                  <c:v>3.15</c:v>
                </c:pt>
                <c:pt idx="5">
                  <c:v>2.95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572-47F9-A59B-0A8B3917C523}"/>
            </c:ext>
          </c:extLst>
        </c:ser>
        <c:ser>
          <c:idx val="9"/>
          <c:order val="9"/>
          <c:tx>
            <c:strRef>
              <c:f>'PC3.04_Ind03'!$B$19</c:f>
              <c:strCache>
                <c:ptCount val="1"/>
                <c:pt idx="0">
                  <c:v>Matemàtica Computacional i Analítica de Dades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'PC3.04_Ind03'!$D$11:$I$11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'PC3.04_Ind03'!$D$19:$I$19</c:f>
              <c:numCache>
                <c:formatCode>General</c:formatCode>
                <c:ptCount val="6"/>
                <c:pt idx="0">
                  <c:v>0</c:v>
                </c:pt>
                <c:pt idx="1">
                  <c:v>3.1850000000000001</c:v>
                </c:pt>
                <c:pt idx="2">
                  <c:v>3.43</c:v>
                </c:pt>
                <c:pt idx="3">
                  <c:v>3.0700000000000003</c:v>
                </c:pt>
                <c:pt idx="4">
                  <c:v>3.09</c:v>
                </c:pt>
                <c:pt idx="5">
                  <c:v>3.05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572-47F9-A59B-0A8B3917C523}"/>
            </c:ext>
          </c:extLst>
        </c:ser>
        <c:ser>
          <c:idx val="10"/>
          <c:order val="10"/>
          <c:tx>
            <c:strRef>
              <c:f>'PC3.04_Ind03'!$B$20</c:f>
              <c:strCache>
                <c:ptCount val="1"/>
                <c:pt idx="0">
                  <c:v>Matemàtiques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'PC3.04_Ind03'!$D$11:$I$11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'PC3.04_Ind03'!$D$20:$I$20</c:f>
              <c:numCache>
                <c:formatCode>General</c:formatCode>
                <c:ptCount val="6"/>
                <c:pt idx="0">
                  <c:v>2.83</c:v>
                </c:pt>
                <c:pt idx="1">
                  <c:v>3.09</c:v>
                </c:pt>
                <c:pt idx="2">
                  <c:v>3.05</c:v>
                </c:pt>
                <c:pt idx="3">
                  <c:v>3.2350000000000003</c:v>
                </c:pt>
                <c:pt idx="4">
                  <c:v>3.05</c:v>
                </c:pt>
                <c:pt idx="5">
                  <c:v>3.27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572-47F9-A59B-0A8B3917C523}"/>
            </c:ext>
          </c:extLst>
        </c:ser>
        <c:ser>
          <c:idx val="11"/>
          <c:order val="11"/>
          <c:tx>
            <c:strRef>
              <c:f>'PC3.04_Ind03'!$B$21</c:f>
              <c:strCache>
                <c:ptCount val="1"/>
                <c:pt idx="0">
                  <c:v>Nanociència i Nanotecnologia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'PC3.04_Ind03'!$D$11:$I$11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'PC3.04_Ind03'!$D$21:$I$21</c:f>
              <c:numCache>
                <c:formatCode>General</c:formatCode>
                <c:ptCount val="6"/>
                <c:pt idx="0">
                  <c:v>2.7800000000000002</c:v>
                </c:pt>
                <c:pt idx="1">
                  <c:v>2.9850000000000003</c:v>
                </c:pt>
                <c:pt idx="2">
                  <c:v>2.97</c:v>
                </c:pt>
                <c:pt idx="3">
                  <c:v>2.9299999999999997</c:v>
                </c:pt>
                <c:pt idx="4">
                  <c:v>3.2</c:v>
                </c:pt>
                <c:pt idx="5">
                  <c:v>3.22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572-47F9-A59B-0A8B3917C523}"/>
            </c:ext>
          </c:extLst>
        </c:ser>
        <c:ser>
          <c:idx val="12"/>
          <c:order val="12"/>
          <c:tx>
            <c:strRef>
              <c:f>'PC3.04_Ind03'!$B$22</c:f>
              <c:strCache>
                <c:ptCount val="1"/>
                <c:pt idx="0">
                  <c:v>Estudis Interdisciplinaris en Sostenibilitat Ambiental, Econòmica i Social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'PC3.04_Ind03'!$D$11:$I$11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'PC3.04_Ind03'!$D$22:$I$22</c:f>
              <c:numCache>
                <c:formatCode>General</c:formatCode>
                <c:ptCount val="6"/>
                <c:pt idx="0">
                  <c:v>2.8849999999999998</c:v>
                </c:pt>
                <c:pt idx="1">
                  <c:v>3.0949999999999998</c:v>
                </c:pt>
                <c:pt idx="2">
                  <c:v>2.95</c:v>
                </c:pt>
                <c:pt idx="3">
                  <c:v>0</c:v>
                </c:pt>
                <c:pt idx="4">
                  <c:v>3.48</c:v>
                </c:pt>
                <c:pt idx="5">
                  <c:v>3.37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572-47F9-A59B-0A8B3917C523}"/>
            </c:ext>
          </c:extLst>
        </c:ser>
        <c:ser>
          <c:idx val="13"/>
          <c:order val="13"/>
          <c:tx>
            <c:strRef>
              <c:f>'PC3.04_Ind03'!$B$23</c:f>
              <c:strCache>
                <c:ptCount val="1"/>
                <c:pt idx="0">
                  <c:v>Física d'Altes Energies, Astrofísica i Cosmologia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'PC3.04_Ind03'!$D$11:$I$11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'PC3.04_Ind03'!$D$23:$I$23</c:f>
              <c:numCache>
                <c:formatCode>General</c:formatCode>
                <c:ptCount val="6"/>
                <c:pt idx="0">
                  <c:v>3.45</c:v>
                </c:pt>
                <c:pt idx="1">
                  <c:v>3.03</c:v>
                </c:pt>
                <c:pt idx="2">
                  <c:v>2.87</c:v>
                </c:pt>
                <c:pt idx="3">
                  <c:v>3.21</c:v>
                </c:pt>
                <c:pt idx="4">
                  <c:v>2.56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572-47F9-A59B-0A8B3917C523}"/>
            </c:ext>
          </c:extLst>
        </c:ser>
        <c:ser>
          <c:idx val="14"/>
          <c:order val="14"/>
          <c:tx>
            <c:strRef>
              <c:f>'PC3.04_Ind03'!$B$24</c:f>
              <c:strCache>
                <c:ptCount val="1"/>
                <c:pt idx="0">
                  <c:v>Història de la Ciència: Ciència, Història i Societat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'PC3.04_Ind03'!$D$11:$I$11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'PC3.04_Ind03'!$D$24:$I$24</c:f>
              <c:numCache>
                <c:formatCode>General</c:formatCode>
                <c:ptCount val="6"/>
                <c:pt idx="0">
                  <c:v>2.5049999999999999</c:v>
                </c:pt>
                <c:pt idx="1">
                  <c:v>3.36</c:v>
                </c:pt>
                <c:pt idx="2">
                  <c:v>3.39</c:v>
                </c:pt>
                <c:pt idx="3">
                  <c:v>3.71</c:v>
                </c:pt>
                <c:pt idx="4">
                  <c:v>3.5</c:v>
                </c:pt>
                <c:pt idx="5">
                  <c:v>3.55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572-47F9-A59B-0A8B3917C523}"/>
            </c:ext>
          </c:extLst>
        </c:ser>
        <c:ser>
          <c:idx val="15"/>
          <c:order val="15"/>
          <c:tx>
            <c:strRef>
              <c:f>'PC3.04_Ind03'!$B$25</c:f>
              <c:strCache>
                <c:ptCount val="1"/>
                <c:pt idx="0">
                  <c:v>Modelització per a la Ciència i l'Enginyeria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'PC3.04_Ind03'!$D$11:$I$11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'PC3.04_Ind03'!$D$25:$I$25</c:f>
              <c:numCache>
                <c:formatCode>General</c:formatCode>
                <c:ptCount val="6"/>
                <c:pt idx="0">
                  <c:v>0</c:v>
                </c:pt>
                <c:pt idx="1">
                  <c:v>2.8</c:v>
                </c:pt>
                <c:pt idx="2">
                  <c:v>3.32</c:v>
                </c:pt>
                <c:pt idx="3">
                  <c:v>2.83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572-47F9-A59B-0A8B3917C523}"/>
            </c:ext>
          </c:extLst>
        </c:ser>
        <c:ser>
          <c:idx val="16"/>
          <c:order val="16"/>
          <c:tx>
            <c:strRef>
              <c:f>'PC3.04_Ind03'!$B$26</c:f>
              <c:strCache>
                <c:ptCount val="1"/>
                <c:pt idx="0">
                  <c:v>Nanociència i Nanotecnologia Avançades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'PC3.04_Ind03'!$D$11:$I$11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'PC3.04_Ind03'!$D$26:$I$26</c:f>
              <c:numCache>
                <c:formatCode>General</c:formatCode>
                <c:ptCount val="6"/>
                <c:pt idx="0">
                  <c:v>0</c:v>
                </c:pt>
                <c:pt idx="1">
                  <c:v>2.6799999999999997</c:v>
                </c:pt>
                <c:pt idx="2">
                  <c:v>3.04</c:v>
                </c:pt>
                <c:pt idx="3">
                  <c:v>0</c:v>
                </c:pt>
                <c:pt idx="4">
                  <c:v>2.4</c:v>
                </c:pt>
                <c:pt idx="5">
                  <c:v>3.01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572-47F9-A59B-0A8B3917C523}"/>
            </c:ext>
          </c:extLst>
        </c:ser>
        <c:ser>
          <c:idx val="17"/>
          <c:order val="17"/>
          <c:tx>
            <c:strRef>
              <c:f>'PC3.04_Ind03'!$B$27</c:f>
              <c:strCache>
                <c:ptCount val="1"/>
                <c:pt idx="0">
                  <c:v>Paleobiologia i Registre Fòssil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'PC3.04_Ind03'!$D$11:$I$11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'PC3.04_Ind03'!$D$27:$I$27</c:f>
              <c:numCache>
                <c:formatCode>General</c:formatCode>
                <c:ptCount val="6"/>
                <c:pt idx="0">
                  <c:v>0</c:v>
                </c:pt>
                <c:pt idx="1">
                  <c:v>3.6</c:v>
                </c:pt>
                <c:pt idx="2">
                  <c:v>3.25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572-47F9-A59B-0A8B3917C523}"/>
            </c:ext>
          </c:extLst>
        </c:ser>
        <c:ser>
          <c:idx val="18"/>
          <c:order val="18"/>
          <c:tx>
            <c:strRef>
              <c:f>'PC3.04_Ind03'!$B$28</c:f>
              <c:strCache>
                <c:ptCount val="1"/>
                <c:pt idx="0">
                  <c:v>Química Industrial i Introducció a la Recerca Química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'PC3.04_Ind03'!$D$11:$I$11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'PC3.04_Ind03'!$D$28:$I$28</c:f>
              <c:numCache>
                <c:formatCode>General</c:formatCode>
                <c:ptCount val="6"/>
                <c:pt idx="0">
                  <c:v>2.9450000000000003</c:v>
                </c:pt>
                <c:pt idx="1">
                  <c:v>2.9850000000000003</c:v>
                </c:pt>
                <c:pt idx="2">
                  <c:v>2.74</c:v>
                </c:pt>
                <c:pt idx="3">
                  <c:v>0</c:v>
                </c:pt>
                <c:pt idx="4">
                  <c:v>0</c:v>
                </c:pt>
                <c:pt idx="5">
                  <c:v>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572-47F9-A59B-0A8B3917C523}"/>
            </c:ext>
          </c:extLst>
        </c:ser>
        <c:ser>
          <c:idx val="20"/>
          <c:order val="19"/>
          <c:tx>
            <c:strRef>
              <c:f>'PC3.04_Ind03'!$B$29</c:f>
              <c:strCache>
                <c:ptCount val="1"/>
                <c:pt idx="0">
                  <c:v>Química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'PC3.04_Ind03'!$D$11:$I$11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'PC3.04_Ind03'!$D$29:$I$29</c:f>
              <c:numCache>
                <c:formatCode>General</c:formatCode>
                <c:ptCount val="6"/>
                <c:pt idx="0">
                  <c:v>2.73</c:v>
                </c:pt>
                <c:pt idx="1">
                  <c:v>3.11</c:v>
                </c:pt>
                <c:pt idx="2">
                  <c:v>3.09</c:v>
                </c:pt>
                <c:pt idx="3">
                  <c:v>2.99</c:v>
                </c:pt>
                <c:pt idx="4">
                  <c:v>3.11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572-47F9-A59B-0A8B3917C523}"/>
            </c:ext>
          </c:extLst>
        </c:ser>
        <c:ser>
          <c:idx val="21"/>
          <c:order val="20"/>
          <c:tx>
            <c:strRef>
              <c:f>'PC3.04_Ind03'!$B$32</c:f>
              <c:strCache>
                <c:ptCount val="1"/>
                <c:pt idx="0">
                  <c:v>Valor objectiu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'PC3.04_Ind03'!$D$11:$I$11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'PC3.04_Ind03'!$D$32:$H$32</c:f>
              <c:numCache>
                <c:formatCode>0.00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572-47F9-A59B-0A8B3917C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732217664"/>
        <c:axId val="1354710160"/>
      </c:barChart>
      <c:catAx>
        <c:axId val="173221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54710160"/>
        <c:crosses val="autoZero"/>
        <c:auto val="1"/>
        <c:lblAlgn val="ctr"/>
        <c:lblOffset val="100"/>
        <c:noMultiLvlLbl val="0"/>
      </c:catAx>
      <c:valAx>
        <c:axId val="135471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73221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8520627825047136E-2"/>
          <c:y val="0.73175082943482916"/>
          <c:w val="0.96912081345321466"/>
          <c:h val="0.247736456019920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a-ES" sz="1000" b="1">
                <a:effectLst/>
              </a:rPr>
              <a:t>PC3.05_Ind02.  Número d'activitats realitzades pel Consell d'Estudiants (Pla Estratègic 2022/2023 a 2024/2025)</a:t>
            </a:r>
            <a:endParaRPr lang="ca-ES" sz="10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'PC3.05_Ind01'!$B$12</c:f>
              <c:strCache>
                <c:ptCount val="1"/>
                <c:pt idx="0">
                  <c:v>Nombre de persones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'PC3.05_Ind01'!$C$11:$G$11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'PC3.05_Ind01'!$C$12:$G$12</c:f>
              <c:numCache>
                <c:formatCode>General</c:formatCode>
                <c:ptCount val="5"/>
                <c:pt idx="0">
                  <c:v>3555</c:v>
                </c:pt>
                <c:pt idx="1">
                  <c:v>3073</c:v>
                </c:pt>
                <c:pt idx="2">
                  <c:v>3361</c:v>
                </c:pt>
                <c:pt idx="3">
                  <c:v>2839</c:v>
                </c:pt>
                <c:pt idx="4">
                  <c:v>4644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43-475E-811E-C6B6B6E2B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58975936"/>
        <c:axId val="13497658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'PC3.05_Ind01'!$B$20</c15:sqref>
                        </c15:formulaRef>
                      </c:ext>
                    </c:extLst>
                    <c:strCache>
                      <c:ptCount val="1"/>
                      <c:pt idx="0">
                        <c:v>9. Gràfic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'PC3.05_Ind01'!$C$11:$G$11</c15:sqref>
                        </c15:formulaRef>
                      </c:ext>
                    </c:extLst>
                    <c:strCache>
                      <c:ptCount val="5"/>
                      <c:pt idx="0">
                        <c:v>2018/2019</c:v>
                      </c:pt>
                      <c:pt idx="1">
                        <c:v>2019/2020</c:v>
                      </c:pt>
                      <c:pt idx="2">
                        <c:v>2020/2021</c:v>
                      </c:pt>
                      <c:pt idx="3">
                        <c:v>2021/2022</c:v>
                      </c:pt>
                      <c:pt idx="4">
                        <c:v>2022/2023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'PC3.05_Ind01'!$C$20:$E$20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043-475E-811E-C6B6B6E2B766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'PC3.05_Ind01'!$B$13</c:f>
              <c:strCache>
                <c:ptCount val="1"/>
                <c:pt idx="0">
                  <c:v>Valor de l'objectiu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'PC3.05_Ind01'!$C$11:$F$11</c:f>
              <c:strCache>
                <c:ptCount val="4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</c:strCache>
            </c:strRef>
          </c:cat>
          <c:val>
            <c:numRef>
              <c:f>'PC3.05_Ind01'!$C$13:$G$13</c:f>
              <c:numCache>
                <c:formatCode>General</c:formatCode>
                <c:ptCount val="5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43-475E-811E-C6B6B6E2B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8975936"/>
        <c:axId val="1349765824"/>
      </c:lineChart>
      <c:catAx>
        <c:axId val="155897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49765824"/>
        <c:crosses val="autoZero"/>
        <c:auto val="0"/>
        <c:lblAlgn val="ctr"/>
        <c:lblOffset val="100"/>
        <c:noMultiLvlLbl val="0"/>
      </c:catAx>
      <c:valAx>
        <c:axId val="1349765824"/>
        <c:scaling>
          <c:orientation val="minMax"/>
          <c:max val="50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58975936"/>
        <c:crossesAt val="1"/>
        <c:crossBetween val="between"/>
        <c:minorUnit val="50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a-ES" sz="1000" b="1">
                <a:effectLst/>
              </a:rPr>
              <a:t>PC3.05_Ind02.  Número d'activitats realitzades pel Consell d'Estudiants (Pla Estratègic 2022/2023 a 2024/2025)</a:t>
            </a:r>
            <a:endParaRPr lang="ca-ES" sz="10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'PC3.05_Ind02'!$B$20</c:f>
              <c:strCache>
                <c:ptCount val="1"/>
                <c:pt idx="0">
                  <c:v>9. Gràfic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'PC3.05_Ind02'!$C$11:$H$11</c:f>
              <c:strCache>
                <c:ptCount val="6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  <c:pt idx="5">
                  <c:v>2023/2024</c:v>
                </c:pt>
              </c:strCache>
            </c:strRef>
          </c:cat>
          <c:val>
            <c:numRef>
              <c:f>'PC3.05_Ind02'!$C$20:$E$20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FA47-47DB-A3BA-9A98D6D3499C}"/>
            </c:ext>
          </c:extLst>
        </c:ser>
        <c:ser>
          <c:idx val="1"/>
          <c:order val="1"/>
          <c:tx>
            <c:strRef>
              <c:f>'PC3.05_Ind02'!$B$12</c:f>
              <c:strCache>
                <c:ptCount val="1"/>
                <c:pt idx="0">
                  <c:v>Núm.Activitats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'PC3.05_Ind02'!$C$11:$H$11</c:f>
              <c:strCache>
                <c:ptCount val="6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  <c:pt idx="5">
                  <c:v>2023/2024</c:v>
                </c:pt>
              </c:strCache>
            </c:strRef>
          </c:cat>
          <c:val>
            <c:numRef>
              <c:f>'PC3.05_Ind02'!$C$12:$H$12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47-47DB-A3BA-9A98D6D34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58975936"/>
        <c:axId val="1349765824"/>
      </c:barChart>
      <c:lineChart>
        <c:grouping val="standard"/>
        <c:varyColors val="0"/>
        <c:ser>
          <c:idx val="2"/>
          <c:order val="2"/>
          <c:tx>
            <c:strRef>
              <c:f>'PC3.05_Ind02'!$B$13</c:f>
              <c:strCache>
                <c:ptCount val="1"/>
                <c:pt idx="0">
                  <c:v>Valor de l'objectiu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'PC3.05_Ind02'!$C$11:$F$11</c:f>
              <c:strCache>
                <c:ptCount val="4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</c:strCache>
            </c:strRef>
          </c:cat>
          <c:val>
            <c:numRef>
              <c:f>'PC3.05_Ind02'!$C$13:$H$13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7-47DB-A3BA-9A98D6D34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8975936"/>
        <c:axId val="1349765824"/>
      </c:lineChart>
      <c:catAx>
        <c:axId val="155897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49765824"/>
        <c:crosses val="autoZero"/>
        <c:auto val="0"/>
        <c:lblAlgn val="ctr"/>
        <c:lblOffset val="100"/>
        <c:noMultiLvlLbl val="0"/>
      </c:catAx>
      <c:valAx>
        <c:axId val="1349765824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58975936"/>
        <c:crossesAt val="1"/>
        <c:crossBetween val="between"/>
        <c:majorUnit val="0.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200" b="1" i="0" u="none" strike="noStrike" baseline="0">
                <a:effectLst/>
              </a:rPr>
              <a:t>PS4.01_Ind01. Taxa de matrícula respecte a les places ofertes per curs acadèmic i titulació</a:t>
            </a:r>
            <a:endParaRPr lang="ca-E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'PS4.01_Ind01'!$B$13</c:f>
              <c:strCache>
                <c:ptCount val="1"/>
                <c:pt idx="0">
                  <c:v>Ciències Ambientals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'PS4.01_Ind01'!$D$12:$I$12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'PS4.01_Ind01'!$D$13:$I$13</c:f>
              <c:numCache>
                <c:formatCode>0%</c:formatCode>
                <c:ptCount val="6"/>
                <c:pt idx="0">
                  <c:v>1.17</c:v>
                </c:pt>
                <c:pt idx="1">
                  <c:v>1.1200000000000001</c:v>
                </c:pt>
                <c:pt idx="2">
                  <c:v>1.18</c:v>
                </c:pt>
                <c:pt idx="3">
                  <c:v>1.1200000000000001</c:v>
                </c:pt>
                <c:pt idx="4">
                  <c:v>1.05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AF-407C-85CB-AFD8769AF71B}"/>
            </c:ext>
          </c:extLst>
        </c:ser>
        <c:ser>
          <c:idx val="1"/>
          <c:order val="1"/>
          <c:tx>
            <c:strRef>
              <c:f>'PS4.01_Ind01'!$B$14</c:f>
              <c:strCache>
                <c:ptCount val="1"/>
                <c:pt idx="0">
                  <c:v>Ciències Ambientals i Grau en Geologia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'PS4.01_Ind01'!$D$12:$I$12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'PS4.01_Ind01'!$D$14:$I$14</c:f>
              <c:numCache>
                <c:formatCode>0%</c:formatCode>
                <c:ptCount val="6"/>
                <c:pt idx="0">
                  <c:v>0.87</c:v>
                </c:pt>
                <c:pt idx="1">
                  <c:v>1.07</c:v>
                </c:pt>
                <c:pt idx="2">
                  <c:v>1.1000000000000001</c:v>
                </c:pt>
                <c:pt idx="3">
                  <c:v>1.17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AF-407C-85CB-AFD8769AF71B}"/>
            </c:ext>
          </c:extLst>
        </c:ser>
        <c:ser>
          <c:idx val="2"/>
          <c:order val="2"/>
          <c:tx>
            <c:strRef>
              <c:f>'PS4.01_Ind01'!$B$15</c:f>
              <c:strCache>
                <c:ptCount val="1"/>
                <c:pt idx="0">
                  <c:v>Estadística Aplicada  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'PS4.01_Ind01'!$D$12:$I$12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'PS4.01_Ind01'!$D$15:$I$15</c:f>
              <c:numCache>
                <c:formatCode>0%</c:formatCode>
                <c:ptCount val="6"/>
                <c:pt idx="0">
                  <c:v>1.05</c:v>
                </c:pt>
                <c:pt idx="1">
                  <c:v>1.05</c:v>
                </c:pt>
                <c:pt idx="2">
                  <c:v>1.28</c:v>
                </c:pt>
                <c:pt idx="3">
                  <c:v>1.25</c:v>
                </c:pt>
                <c:pt idx="4">
                  <c:v>1.02</c:v>
                </c:pt>
                <c:pt idx="5" formatCode="0.00%">
                  <c:v>1.075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AF-407C-85CB-AFD8769AF71B}"/>
            </c:ext>
          </c:extLst>
        </c:ser>
        <c:ser>
          <c:idx val="3"/>
          <c:order val="3"/>
          <c:tx>
            <c:strRef>
              <c:f>'PS4.01_Ind01'!$B$16</c:f>
              <c:strCache>
                <c:ptCount val="1"/>
                <c:pt idx="0">
                  <c:v>Física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'PS4.01_Ind01'!$D$12:$I$12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'PS4.01_Ind01'!$D$16:$I$16</c:f>
              <c:numCache>
                <c:formatCode>0%</c:formatCode>
                <c:ptCount val="6"/>
                <c:pt idx="0">
                  <c:v>1.01</c:v>
                </c:pt>
                <c:pt idx="1">
                  <c:v>1.01</c:v>
                </c:pt>
                <c:pt idx="2">
                  <c:v>1.07</c:v>
                </c:pt>
                <c:pt idx="3">
                  <c:v>1.1000000000000001</c:v>
                </c:pt>
                <c:pt idx="4">
                  <c:v>1.0285</c:v>
                </c:pt>
                <c:pt idx="5" formatCode="0.00%">
                  <c:v>1.0857000000000001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AF-407C-85CB-AFD8769AF71B}"/>
            </c:ext>
          </c:extLst>
        </c:ser>
        <c:ser>
          <c:idx val="4"/>
          <c:order val="4"/>
          <c:tx>
            <c:strRef>
              <c:f>'PS4.01_Ind01'!$B$17</c:f>
              <c:strCache>
                <c:ptCount val="1"/>
                <c:pt idx="0">
                  <c:v>Física i Matemàtiques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'PS4.01_Ind01'!$D$12:$I$12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'PS4.01_Ind01'!$D$17:$I$17</c:f>
              <c:numCache>
                <c:formatCode>0%</c:formatCode>
                <c:ptCount val="6"/>
                <c:pt idx="0">
                  <c:v>1.1499999999999999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</c:v>
                </c:pt>
                <c:pt idx="4">
                  <c:v>0</c:v>
                </c:pt>
                <c:pt idx="5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AF-407C-85CB-AFD8769AF71B}"/>
            </c:ext>
          </c:extLst>
        </c:ser>
        <c:ser>
          <c:idx val="5"/>
          <c:order val="5"/>
          <c:tx>
            <c:strRef>
              <c:f>'PS4.01_Ind01'!$B$18</c:f>
              <c:strCache>
                <c:ptCount val="1"/>
                <c:pt idx="0">
                  <c:v>Física i Química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'PS4.01_Ind01'!$D$12:$I$12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'PS4.01_Ind01'!$D$18:$I$18</c:f>
              <c:numCache>
                <c:formatCode>0%</c:formatCode>
                <c:ptCount val="6"/>
                <c:pt idx="0">
                  <c:v>1.05</c:v>
                </c:pt>
                <c:pt idx="1">
                  <c:v>1</c:v>
                </c:pt>
                <c:pt idx="2">
                  <c:v>1.1000000000000001</c:v>
                </c:pt>
                <c:pt idx="3">
                  <c:v>1.05</c:v>
                </c:pt>
                <c:pt idx="4">
                  <c:v>0</c:v>
                </c:pt>
                <c:pt idx="5">
                  <c:v>1.05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AF-407C-85CB-AFD8769AF71B}"/>
            </c:ext>
          </c:extLst>
        </c:ser>
        <c:ser>
          <c:idx val="6"/>
          <c:order val="6"/>
          <c:tx>
            <c:strRef>
              <c:f>'PS4.01_Ind01'!$B$19</c:f>
              <c:strCache>
                <c:ptCount val="1"/>
                <c:pt idx="0">
                  <c:v>Geologia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'PS4.01_Ind01'!$D$12:$I$12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'PS4.01_Ind01'!$D$19:$I$19</c:f>
              <c:numCache>
                <c:formatCode>0%</c:formatCode>
                <c:ptCount val="6"/>
                <c:pt idx="0">
                  <c:v>0.78</c:v>
                </c:pt>
                <c:pt idx="1">
                  <c:v>0.94</c:v>
                </c:pt>
                <c:pt idx="2">
                  <c:v>0.96</c:v>
                </c:pt>
                <c:pt idx="3">
                  <c:v>1.04</c:v>
                </c:pt>
                <c:pt idx="4">
                  <c:v>0.67500000000000004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5AF-407C-85CB-AFD8769AF71B}"/>
            </c:ext>
          </c:extLst>
        </c:ser>
        <c:ser>
          <c:idx val="7"/>
          <c:order val="7"/>
          <c:tx>
            <c:strRef>
              <c:f>'PS4.01_Ind01'!$B$20</c:f>
              <c:strCache>
                <c:ptCount val="1"/>
                <c:pt idx="0">
                  <c:v>Matemàtica Computacional i Analítica de Dades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'PS4.01_Ind01'!$D$12:$I$12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'PS4.01_Ind01'!$D$20:$I$20</c:f>
              <c:numCache>
                <c:formatCode>0%</c:formatCode>
                <c:ptCount val="6"/>
                <c:pt idx="0" formatCode="General">
                  <c:v>0</c:v>
                </c:pt>
                <c:pt idx="1">
                  <c:v>1.05</c:v>
                </c:pt>
                <c:pt idx="2">
                  <c:v>1.25</c:v>
                </c:pt>
                <c:pt idx="3">
                  <c:v>1.23</c:v>
                </c:pt>
                <c:pt idx="4">
                  <c:v>1.075</c:v>
                </c:pt>
                <c:pt idx="5">
                  <c:v>1.05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AF-407C-85CB-AFD8769AF71B}"/>
            </c:ext>
          </c:extLst>
        </c:ser>
        <c:ser>
          <c:idx val="8"/>
          <c:order val="8"/>
          <c:tx>
            <c:strRef>
              <c:f>'PS4.01_Ind01'!$B$21</c:f>
              <c:strCache>
                <c:ptCount val="1"/>
                <c:pt idx="0">
                  <c:v>Matemàtiques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'PS4.01_Ind01'!$D$12:$I$12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'PS4.01_Ind01'!$D$21:$I$21</c:f>
              <c:numCache>
                <c:formatCode>0%</c:formatCode>
                <c:ptCount val="6"/>
                <c:pt idx="0">
                  <c:v>0.97</c:v>
                </c:pt>
                <c:pt idx="1">
                  <c:v>0.99</c:v>
                </c:pt>
                <c:pt idx="2">
                  <c:v>1.03</c:v>
                </c:pt>
                <c:pt idx="3">
                  <c:v>1.1499999999999999</c:v>
                </c:pt>
                <c:pt idx="4">
                  <c:v>1.133</c:v>
                </c:pt>
                <c:pt idx="5">
                  <c:v>1.05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5AF-407C-85CB-AFD8769AF71B}"/>
            </c:ext>
          </c:extLst>
        </c:ser>
        <c:ser>
          <c:idx val="9"/>
          <c:order val="9"/>
          <c:tx>
            <c:strRef>
              <c:f>'PS4.01_Ind01'!$B$22</c:f>
              <c:strCache>
                <c:ptCount val="1"/>
                <c:pt idx="0">
                  <c:v>Nanociència i Nanotecnologia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'PS4.01_Ind01'!$D$12:$I$12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'PS4.01_Ind01'!$D$22:$I$22</c:f>
              <c:numCache>
                <c:formatCode>0%</c:formatCode>
                <c:ptCount val="6"/>
                <c:pt idx="0">
                  <c:v>1.82</c:v>
                </c:pt>
                <c:pt idx="1">
                  <c:v>1.06</c:v>
                </c:pt>
                <c:pt idx="2">
                  <c:v>1.0900000000000001</c:v>
                </c:pt>
                <c:pt idx="3">
                  <c:v>1.1200000000000001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5AF-407C-85CB-AFD8769AF71B}"/>
            </c:ext>
          </c:extLst>
        </c:ser>
        <c:ser>
          <c:idx val="10"/>
          <c:order val="10"/>
          <c:tx>
            <c:strRef>
              <c:f>'PS4.01_Ind01'!$B$23</c:f>
              <c:strCache>
                <c:ptCount val="1"/>
                <c:pt idx="0">
                  <c:v>Química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'PS4.01_Ind01'!$D$12:$I$12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'PS4.01_Ind01'!$D$23:$I$23</c:f>
              <c:numCache>
                <c:formatCode>0%</c:formatCode>
                <c:ptCount val="6"/>
                <c:pt idx="0">
                  <c:v>0</c:v>
                </c:pt>
                <c:pt idx="1">
                  <c:v>1.03</c:v>
                </c:pt>
                <c:pt idx="2">
                  <c:v>1.04</c:v>
                </c:pt>
                <c:pt idx="3">
                  <c:v>1.1000000000000001</c:v>
                </c:pt>
                <c:pt idx="4">
                  <c:v>0.97499999999999998</c:v>
                </c:pt>
                <c:pt idx="5">
                  <c:v>0.99160000000000004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5AF-407C-85CB-AFD8769AF71B}"/>
            </c:ext>
          </c:extLst>
        </c:ser>
        <c:ser>
          <c:idx val="11"/>
          <c:order val="11"/>
          <c:tx>
            <c:strRef>
              <c:f>'PS4.01_Ind01'!$B$24</c:f>
              <c:strCache>
                <c:ptCount val="1"/>
                <c:pt idx="0">
                  <c:v>Estudis Interdisciplinaris en Sostenibilitat Ambiental, Econòmica i Social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'PS4.01_Ind01'!$D$12:$I$12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'PS4.01_Ind01'!$D$24:$I$24</c:f>
              <c:numCache>
                <c:formatCode>0%</c:formatCode>
                <c:ptCount val="6"/>
                <c:pt idx="0">
                  <c:v>0.88</c:v>
                </c:pt>
                <c:pt idx="1">
                  <c:v>1.02</c:v>
                </c:pt>
                <c:pt idx="2">
                  <c:v>1.06</c:v>
                </c:pt>
                <c:pt idx="3">
                  <c:v>1.1599999999999999</c:v>
                </c:pt>
                <c:pt idx="4">
                  <c:v>1.26</c:v>
                </c:pt>
                <c:pt idx="5">
                  <c:v>1.1599999999999999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5AF-407C-85CB-AFD8769AF71B}"/>
            </c:ext>
          </c:extLst>
        </c:ser>
        <c:ser>
          <c:idx val="12"/>
          <c:order val="12"/>
          <c:tx>
            <c:strRef>
              <c:f>'PS4.01_Ind01'!$B$25</c:f>
              <c:strCache>
                <c:ptCount val="1"/>
                <c:pt idx="0">
                  <c:v>Física d'Altes Energies, Astrofísica i Cosmologia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'PS4.01_Ind01'!$D$12:$I$12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'PS4.01_Ind01'!$D$25:$I$25</c:f>
              <c:numCache>
                <c:formatCode>0%</c:formatCode>
                <c:ptCount val="6"/>
                <c:pt idx="0">
                  <c:v>1.04</c:v>
                </c:pt>
                <c:pt idx="1">
                  <c:v>0.8</c:v>
                </c:pt>
                <c:pt idx="2">
                  <c:v>0.68</c:v>
                </c:pt>
                <c:pt idx="3">
                  <c:v>0.96</c:v>
                </c:pt>
                <c:pt idx="4">
                  <c:v>1.24</c:v>
                </c:pt>
                <c:pt idx="5">
                  <c:v>1.28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5AF-407C-85CB-AFD8769AF71B}"/>
            </c:ext>
          </c:extLst>
        </c:ser>
        <c:ser>
          <c:idx val="13"/>
          <c:order val="13"/>
          <c:tx>
            <c:strRef>
              <c:f>'PS4.01_Ind01'!$B$26</c:f>
              <c:strCache>
                <c:ptCount val="1"/>
                <c:pt idx="0">
                  <c:v>Història de la Ciència. Ciència, Història i Societat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'PS4.01_Ind01'!$D$12:$I$12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'PS4.01_Ind01'!$D$26:$I$26</c:f>
              <c:numCache>
                <c:formatCode>0%</c:formatCode>
                <c:ptCount val="6"/>
                <c:pt idx="0">
                  <c:v>0.84</c:v>
                </c:pt>
                <c:pt idx="1">
                  <c:v>0.68</c:v>
                </c:pt>
                <c:pt idx="2">
                  <c:v>0.6</c:v>
                </c:pt>
                <c:pt idx="3">
                  <c:v>0.44</c:v>
                </c:pt>
                <c:pt idx="4">
                  <c:v>0.92</c:v>
                </c:pt>
                <c:pt idx="5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5AF-407C-85CB-AFD8769AF71B}"/>
            </c:ext>
          </c:extLst>
        </c:ser>
        <c:ser>
          <c:idx val="14"/>
          <c:order val="14"/>
          <c:tx>
            <c:strRef>
              <c:f>'PS4.01_Ind01'!$B$27</c:f>
              <c:strCache>
                <c:ptCount val="1"/>
                <c:pt idx="0">
                  <c:v>Modelització per a la Ciència i l'Enginyeria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'PS4.01_Ind01'!$D$12:$I$12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'PS4.01_Ind01'!$D$27:$I$27</c:f>
              <c:numCache>
                <c:formatCode>0%</c:formatCode>
                <c:ptCount val="6"/>
                <c:pt idx="0">
                  <c:v>1</c:v>
                </c:pt>
                <c:pt idx="1">
                  <c:v>0.77</c:v>
                </c:pt>
                <c:pt idx="2">
                  <c:v>1.2</c:v>
                </c:pt>
                <c:pt idx="3">
                  <c:v>1.2</c:v>
                </c:pt>
                <c:pt idx="4">
                  <c:v>1.333</c:v>
                </c:pt>
                <c:pt idx="5">
                  <c:v>1.633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5AF-407C-85CB-AFD8769AF71B}"/>
            </c:ext>
          </c:extLst>
        </c:ser>
        <c:ser>
          <c:idx val="15"/>
          <c:order val="15"/>
          <c:tx>
            <c:strRef>
              <c:f>'PS4.01_Ind01'!$B$28</c:f>
              <c:strCache>
                <c:ptCount val="1"/>
                <c:pt idx="0">
                  <c:v>Nanociència i Nanotecnologia Avançades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'PS4.01_Ind01'!$D$12:$I$12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'PS4.01_Ind01'!$D$28:$I$28</c:f>
              <c:numCache>
                <c:formatCode>0%</c:formatCode>
                <c:ptCount val="6"/>
                <c:pt idx="0">
                  <c:v>0.92</c:v>
                </c:pt>
                <c:pt idx="1">
                  <c:v>0.84</c:v>
                </c:pt>
                <c:pt idx="2">
                  <c:v>0.88</c:v>
                </c:pt>
                <c:pt idx="3">
                  <c:v>0.47</c:v>
                </c:pt>
                <c:pt idx="4">
                  <c:v>0.6</c:v>
                </c:pt>
                <c:pt idx="5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5AF-407C-85CB-AFD8769AF71B}"/>
            </c:ext>
          </c:extLst>
        </c:ser>
        <c:ser>
          <c:idx val="16"/>
          <c:order val="16"/>
          <c:tx>
            <c:strRef>
              <c:f>'PS4.01_Ind01'!$B$29</c:f>
              <c:strCache>
                <c:ptCount val="1"/>
                <c:pt idx="0">
                  <c:v>Paleobiologia i Registre Fòssil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'PS4.01_Ind01'!$D$12:$I$12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'PS4.01_Ind01'!$D$29:$I$29</c:f>
              <c:numCache>
                <c:formatCode>0%</c:formatCode>
                <c:ptCount val="6"/>
                <c:pt idx="0">
                  <c:v>0.23</c:v>
                </c:pt>
                <c:pt idx="1">
                  <c:v>0.17</c:v>
                </c:pt>
                <c:pt idx="2">
                  <c:v>0.43</c:v>
                </c:pt>
                <c:pt idx="3">
                  <c:v>0.24</c:v>
                </c:pt>
                <c:pt idx="4">
                  <c:v>0</c:v>
                </c:pt>
                <c:pt idx="5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5AF-407C-85CB-AFD8769AF71B}"/>
            </c:ext>
          </c:extLst>
        </c:ser>
        <c:ser>
          <c:idx val="17"/>
          <c:order val="17"/>
          <c:tx>
            <c:strRef>
              <c:f>'PS4.01_Ind01'!$B$30</c:f>
              <c:strCache>
                <c:ptCount val="1"/>
                <c:pt idx="0">
                  <c:v> Química Industrial i Introducció a la Recerca de la Química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'PS4.01_Ind01'!$D$12:$I$12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'PS4.01_Ind01'!$D$30:$I$30</c:f>
              <c:numCache>
                <c:formatCode>0%</c:formatCode>
                <c:ptCount val="6"/>
                <c:pt idx="0">
                  <c:v>1.22</c:v>
                </c:pt>
                <c:pt idx="1">
                  <c:v>0.89</c:v>
                </c:pt>
                <c:pt idx="2">
                  <c:v>0.96</c:v>
                </c:pt>
                <c:pt idx="3">
                  <c:v>0.82</c:v>
                </c:pt>
                <c:pt idx="4">
                  <c:v>0.97499999999999998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5AF-407C-85CB-AFD8769AF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73868240"/>
        <c:axId val="1496622160"/>
      </c:barChart>
      <c:lineChart>
        <c:grouping val="standard"/>
        <c:varyColors val="0"/>
        <c:ser>
          <c:idx val="18"/>
          <c:order val="18"/>
          <c:tx>
            <c:strRef>
              <c:f>'PS4.01_Ind01'!$B$33</c:f>
              <c:strCache>
                <c:ptCount val="1"/>
                <c:pt idx="0">
                  <c:v>Objectiu 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>
                    <a:lumMod val="8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val>
            <c:numRef>
              <c:f>'PS4.01_Ind01'!$D$33:$I$33</c:f>
              <c:numCache>
                <c:formatCode>0%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5AF-407C-85CB-AFD8769AF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868240"/>
        <c:axId val="1496622160"/>
      </c:lineChart>
      <c:catAx>
        <c:axId val="137386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96622160"/>
        <c:crosses val="autoZero"/>
        <c:auto val="1"/>
        <c:lblAlgn val="ctr"/>
        <c:lblOffset val="100"/>
        <c:noMultiLvlLbl val="0"/>
      </c:catAx>
      <c:valAx>
        <c:axId val="149662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73868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a-ES"/>
              <a:t>PS4.02_Ind02. Valoració mitjana de la pregunta “Els serveis de suport a l’estudiant (informació, matriculació, tràmits acadèmics, beques, orientació, etc.) m’han ofert un bon assessorament i atenció”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'PS4.01_Ind02'!$B$13</c:f>
              <c:strCache>
                <c:ptCount val="1"/>
                <c:pt idx="0">
                  <c:v>Ciències Ambientals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'PS4.01_Ind02'!$D$12:$H$12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'PS4.01_Ind02'!$D$13:$H$13</c:f>
              <c:numCache>
                <c:formatCode>General</c:formatCode>
                <c:ptCount val="5"/>
                <c:pt idx="0">
                  <c:v>3.82</c:v>
                </c:pt>
                <c:pt idx="1">
                  <c:v>0</c:v>
                </c:pt>
                <c:pt idx="2">
                  <c:v>3.75</c:v>
                </c:pt>
                <c:pt idx="3">
                  <c:v>3.8</c:v>
                </c:pt>
                <c:pt idx="4">
                  <c:v>3.76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64-4F13-AE3B-B4A6DDF47A70}"/>
            </c:ext>
          </c:extLst>
        </c:ser>
        <c:ser>
          <c:idx val="1"/>
          <c:order val="1"/>
          <c:tx>
            <c:strRef>
              <c:f>'PS4.01_Ind02'!$B$14</c:f>
              <c:strCache>
                <c:ptCount val="1"/>
                <c:pt idx="0">
                  <c:v>Ciències Ambientals i Grau en Geologia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'PS4.01_Ind02'!$D$12:$H$12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'PS4.01_Ind02'!$D$14:$H$14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64-4F13-AE3B-B4A6DDF47A70}"/>
            </c:ext>
          </c:extLst>
        </c:ser>
        <c:ser>
          <c:idx val="2"/>
          <c:order val="2"/>
          <c:tx>
            <c:strRef>
              <c:f>'PS4.01_Ind02'!$B$15</c:f>
              <c:strCache>
                <c:ptCount val="1"/>
                <c:pt idx="0">
                  <c:v>Estadística Aplicada  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'PS4.01_Ind02'!$D$12:$H$12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'PS4.01_Ind02'!$D$15:$H$15</c:f>
              <c:numCache>
                <c:formatCode>General</c:formatCode>
                <c:ptCount val="5"/>
                <c:pt idx="0">
                  <c:v>0</c:v>
                </c:pt>
                <c:pt idx="1">
                  <c:v>3.8</c:v>
                </c:pt>
                <c:pt idx="2">
                  <c:v>3.83</c:v>
                </c:pt>
                <c:pt idx="3">
                  <c:v>3</c:v>
                </c:pt>
                <c:pt idx="4">
                  <c:v>4.17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64-4F13-AE3B-B4A6DDF47A70}"/>
            </c:ext>
          </c:extLst>
        </c:ser>
        <c:ser>
          <c:idx val="3"/>
          <c:order val="3"/>
          <c:tx>
            <c:strRef>
              <c:f>'PS4.01_Ind02'!$B$16</c:f>
              <c:strCache>
                <c:ptCount val="1"/>
                <c:pt idx="0">
                  <c:v>Física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'PS4.01_Ind02'!$D$12:$H$12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'PS4.01_Ind02'!$D$16:$H$16</c:f>
              <c:numCache>
                <c:formatCode>General</c:formatCode>
                <c:ptCount val="5"/>
                <c:pt idx="0">
                  <c:v>2.67</c:v>
                </c:pt>
                <c:pt idx="1">
                  <c:v>3.19</c:v>
                </c:pt>
                <c:pt idx="2">
                  <c:v>3.92</c:v>
                </c:pt>
                <c:pt idx="3">
                  <c:v>2.17</c:v>
                </c:pt>
                <c:pt idx="4">
                  <c:v>3.52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364-4F13-AE3B-B4A6DDF47A70}"/>
            </c:ext>
          </c:extLst>
        </c:ser>
        <c:ser>
          <c:idx val="4"/>
          <c:order val="4"/>
          <c:tx>
            <c:strRef>
              <c:f>'PS4.01_Ind02'!$B$17</c:f>
              <c:strCache>
                <c:ptCount val="1"/>
                <c:pt idx="0">
                  <c:v>Física i Matemàtiques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'PS4.01_Ind02'!$D$12:$H$12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'PS4.01_Ind02'!$D$17:$H$17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3.56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64-4F13-AE3B-B4A6DDF47A70}"/>
            </c:ext>
          </c:extLst>
        </c:ser>
        <c:ser>
          <c:idx val="5"/>
          <c:order val="5"/>
          <c:tx>
            <c:strRef>
              <c:f>'PS4.01_Ind02'!$B$18</c:f>
              <c:strCache>
                <c:ptCount val="1"/>
                <c:pt idx="0">
                  <c:v>Física i Química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'PS4.01_Ind02'!$D$12:$H$12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'PS4.01_Ind02'!$D$18:$H$18</c:f>
              <c:numCache>
                <c:formatCode>General</c:formatCode>
                <c:ptCount val="5"/>
                <c:pt idx="0">
                  <c:v>3.63</c:v>
                </c:pt>
                <c:pt idx="1">
                  <c:v>3.86</c:v>
                </c:pt>
                <c:pt idx="2">
                  <c:v>0</c:v>
                </c:pt>
                <c:pt idx="3">
                  <c:v>3.5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364-4F13-AE3B-B4A6DDF47A70}"/>
            </c:ext>
          </c:extLst>
        </c:ser>
        <c:ser>
          <c:idx val="6"/>
          <c:order val="6"/>
          <c:tx>
            <c:strRef>
              <c:f>'PS4.01_Ind02'!$B$19</c:f>
              <c:strCache>
                <c:ptCount val="1"/>
                <c:pt idx="0">
                  <c:v>Geologia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'PS4.01_Ind02'!$D$12:$H$12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'PS4.01_Ind02'!$D$19:$H$19</c:f>
              <c:numCache>
                <c:formatCode>General</c:formatCode>
                <c:ptCount val="5"/>
                <c:pt idx="0">
                  <c:v>1.8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364-4F13-AE3B-B4A6DDF47A70}"/>
            </c:ext>
          </c:extLst>
        </c:ser>
        <c:ser>
          <c:idx val="7"/>
          <c:order val="7"/>
          <c:tx>
            <c:strRef>
              <c:f>'PS4.01_Ind02'!$B$20</c:f>
              <c:strCache>
                <c:ptCount val="1"/>
                <c:pt idx="0">
                  <c:v>Matemàtica Computacional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'PS4.01_Ind02'!$D$12:$H$12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'PS4.01_Ind02'!$D$20:$H$20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General">
                  <c:v>4.17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364-4F13-AE3B-B4A6DDF47A70}"/>
            </c:ext>
          </c:extLst>
        </c:ser>
        <c:ser>
          <c:idx val="8"/>
          <c:order val="8"/>
          <c:tx>
            <c:strRef>
              <c:f>'PS4.01_Ind02'!$B$21</c:f>
              <c:strCache>
                <c:ptCount val="1"/>
                <c:pt idx="0">
                  <c:v>Matemàtiques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'PS4.01_Ind02'!$D$12:$H$12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'PS4.01_Ind02'!$D$21:$H$21</c:f>
              <c:numCache>
                <c:formatCode>General</c:formatCode>
                <c:ptCount val="5"/>
                <c:pt idx="0">
                  <c:v>3.4</c:v>
                </c:pt>
                <c:pt idx="1">
                  <c:v>3.21</c:v>
                </c:pt>
                <c:pt idx="2">
                  <c:v>3.36</c:v>
                </c:pt>
                <c:pt idx="3">
                  <c:v>4</c:v>
                </c:pt>
                <c:pt idx="4">
                  <c:v>3.87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364-4F13-AE3B-B4A6DDF47A70}"/>
            </c:ext>
          </c:extLst>
        </c:ser>
        <c:ser>
          <c:idx val="9"/>
          <c:order val="9"/>
          <c:tx>
            <c:strRef>
              <c:f>'PS4.01_Ind02'!$B$22</c:f>
              <c:strCache>
                <c:ptCount val="1"/>
                <c:pt idx="0">
                  <c:v>Nanociència i Nanotecnologia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'PS4.01_Ind02'!$D$12:$H$12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'PS4.01_Ind02'!$D$22:$H$22</c:f>
              <c:numCache>
                <c:formatCode>General</c:formatCode>
                <c:ptCount val="5"/>
                <c:pt idx="0">
                  <c:v>2.73</c:v>
                </c:pt>
                <c:pt idx="1">
                  <c:v>3.11</c:v>
                </c:pt>
                <c:pt idx="2">
                  <c:v>3.4</c:v>
                </c:pt>
                <c:pt idx="3">
                  <c:v>4</c:v>
                </c:pt>
                <c:pt idx="4">
                  <c:v>3.82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364-4F13-AE3B-B4A6DDF47A70}"/>
            </c:ext>
          </c:extLst>
        </c:ser>
        <c:ser>
          <c:idx val="10"/>
          <c:order val="10"/>
          <c:tx>
            <c:strRef>
              <c:f>'PS4.01_Ind02'!$B$23</c:f>
              <c:strCache>
                <c:ptCount val="1"/>
                <c:pt idx="0">
                  <c:v>Química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solidFill>
                <a:schemeClr val="accent2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'PS4.01_Ind02'!$D$12:$H$12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'PS4.01_Ind02'!$D$23:$H$23</c:f>
              <c:numCache>
                <c:formatCode>General</c:formatCode>
                <c:ptCount val="5"/>
                <c:pt idx="0">
                  <c:v>2.65</c:v>
                </c:pt>
                <c:pt idx="1">
                  <c:v>3.37</c:v>
                </c:pt>
                <c:pt idx="2">
                  <c:v>3.08</c:v>
                </c:pt>
                <c:pt idx="3">
                  <c:v>4.25</c:v>
                </c:pt>
                <c:pt idx="4">
                  <c:v>3.58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364-4F13-AE3B-B4A6DDF47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31709984"/>
        <c:axId val="1770293728"/>
      </c:barChart>
      <c:lineChart>
        <c:grouping val="standard"/>
        <c:varyColors val="0"/>
        <c:ser>
          <c:idx val="11"/>
          <c:order val="11"/>
          <c:tx>
            <c:strRef>
              <c:f>'PS4.01_Ind02'!$B$26</c:f>
              <c:strCache>
                <c:ptCount val="1"/>
                <c:pt idx="0">
                  <c:v>Valor objectiu 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6">
                    <a:lumMod val="6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val>
            <c:numRef>
              <c:f>'PS4.01_Ind02'!$D$26:$H$26</c:f>
              <c:numCache>
                <c:formatCode>0.00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364-4F13-AE3B-B4A6DDF47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1709984"/>
        <c:axId val="1770293728"/>
      </c:lineChart>
      <c:catAx>
        <c:axId val="133170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770293728"/>
        <c:crosses val="autoZero"/>
        <c:auto val="1"/>
        <c:lblAlgn val="ctr"/>
        <c:lblOffset val="100"/>
        <c:noMultiLvlLbl val="0"/>
      </c:catAx>
      <c:valAx>
        <c:axId val="177029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3170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a-ES" sz="1200" b="1">
                <a:effectLst/>
              </a:rPr>
              <a:t>PS4.02_Ind01. Percentatge de Taules de Mesures Correctores (TMC) retornades respecte de les TMC emeses</a:t>
            </a:r>
            <a:endParaRPr lang="ca-ES" sz="1200">
              <a:effectLst/>
            </a:endParaRPr>
          </a:p>
        </c:rich>
      </c:tx>
      <c:layout>
        <c:manualLayout>
          <c:xMode val="edge"/>
          <c:yMode val="edge"/>
          <c:x val="0.3792985564304461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'PS4.02_Ind01'!$C$14</c:f>
              <c:strCache>
                <c:ptCount val="1"/>
                <c:pt idx="0">
                  <c:v>% Compliment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'PS4.02_Ind01'!$D$11:$I$11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'PS4.02_Ind01'!$D$14:$I$14</c:f>
              <c:numCache>
                <c:formatCode>0.00%</c:formatCode>
                <c:ptCount val="6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0.8571428571428571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59-4130-8022-4B36DF39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01734704"/>
        <c:axId val="1259628368"/>
      </c:barChart>
      <c:lineChart>
        <c:grouping val="standard"/>
        <c:varyColors val="0"/>
        <c:ser>
          <c:idx val="1"/>
          <c:order val="1"/>
          <c:tx>
            <c:strRef>
              <c:f>'PS4.02_Ind01'!$C$15</c:f>
              <c:strCache>
                <c:ptCount val="1"/>
                <c:pt idx="0">
                  <c:v>Valor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val>
            <c:numRef>
              <c:f>'PS4.02_Ind01'!$D$15:$I$15</c:f>
              <c:numCache>
                <c:formatCode>0%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59-4130-8022-4B36DF39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1734704"/>
        <c:axId val="1259628368"/>
      </c:lineChart>
      <c:catAx>
        <c:axId val="120173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59628368"/>
        <c:crosses val="autoZero"/>
        <c:auto val="1"/>
        <c:lblAlgn val="ctr"/>
        <c:lblOffset val="100"/>
        <c:noMultiLvlLbl val="0"/>
      </c:catAx>
      <c:valAx>
        <c:axId val="125962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01734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a-ES" sz="1200" b="1">
                <a:effectLst/>
              </a:rPr>
              <a:t>PS4.02_Ind02. Nombre d’informes d’avaluació retornats respecte del total rebuts</a:t>
            </a:r>
            <a:endParaRPr lang="ca-ES" sz="12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1"/>
          <c:cat>
            <c:strRef>
              <c:f>'PS4.02_Ind02'!$D$11:$H$11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'PS4.02_Ind02'!$D$14:$H$14</c:f>
              <c:numCache>
                <c:formatCode>0.00%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0.8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38-447F-A39C-71D290EEE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1423127"/>
        <c:axId val="517237689"/>
      </c:barChart>
      <c:lineChart>
        <c:grouping val="standard"/>
        <c:varyColors val="1"/>
        <c:ser>
          <c:idx val="1"/>
          <c:order val="1"/>
          <c:tx>
            <c:strRef>
              <c:f>'PS4.02_Ind02'!$C$15</c:f>
              <c:strCache>
                <c:ptCount val="1"/>
                <c:pt idx="0">
                  <c:v>VALOR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'PS4.02_Ind02'!$D$11:$G$11</c:f>
              <c:strCache>
                <c:ptCount val="4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</c:strCache>
            </c:strRef>
          </c:cat>
          <c:val>
            <c:numRef>
              <c:f>'PS4.02_Ind02'!$D$15:$H$15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2C-4F8A-92E8-A055F99EB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423127"/>
        <c:axId val="517237689"/>
      </c:lineChart>
      <c:catAx>
        <c:axId val="1151423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17237689"/>
        <c:crosses val="autoZero"/>
        <c:auto val="1"/>
        <c:lblAlgn val="ctr"/>
        <c:lblOffset val="100"/>
        <c:noMultiLvlLbl val="1"/>
      </c:catAx>
      <c:valAx>
        <c:axId val="51723768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151423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zero"/>
    <c:showDLblsOverMax val="1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a-ES" sz="1200" b="1">
                <a:effectLst/>
              </a:rPr>
              <a:t>PS4.02_Ind03. Percentatge de queixes i suggeriments respostos dins de termini</a:t>
            </a:r>
            <a:endParaRPr lang="ca-ES" sz="12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'PS4.02_Ind03'!$C$13</c:f>
              <c:strCache>
                <c:ptCount val="1"/>
                <c:pt idx="0">
                  <c:v>% Compliment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1"/>
          <c:cat>
            <c:strRef>
              <c:f>'PS4.02_Ind03'!$D$11:$I$11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'PS4.02_Ind03'!$D$13:$I$13</c:f>
              <c:numCache>
                <c:formatCode>0.00%</c:formatCode>
                <c:ptCount val="6"/>
                <c:pt idx="0">
                  <c:v>0.8</c:v>
                </c:pt>
                <c:pt idx="1">
                  <c:v>0.82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4-4C96-8D4F-8B5971317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1423127"/>
        <c:axId val="517237689"/>
      </c:barChart>
      <c:lineChart>
        <c:grouping val="standard"/>
        <c:varyColors val="1"/>
        <c:ser>
          <c:idx val="1"/>
          <c:order val="1"/>
          <c:tx>
            <c:strRef>
              <c:f>'PS4.02_Ind03'!$C$14</c:f>
              <c:strCache>
                <c:ptCount val="1"/>
                <c:pt idx="0">
                  <c:v>VALOR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'PS4.02_Ind03'!$D$11:$G$11</c:f>
              <c:strCache>
                <c:ptCount val="4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</c:strCache>
            </c:strRef>
          </c:cat>
          <c:val>
            <c:numRef>
              <c:f>'PS4.02_Ind03'!$D$14:$I$14</c:f>
              <c:numCache>
                <c:formatCode>0%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C4-4C96-8D4F-8B5971317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423127"/>
        <c:axId val="517237689"/>
      </c:lineChart>
      <c:catAx>
        <c:axId val="1151423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17237689"/>
        <c:crosses val="autoZero"/>
        <c:auto val="1"/>
        <c:lblAlgn val="ctr"/>
        <c:lblOffset val="100"/>
        <c:noMultiLvlLbl val="1"/>
      </c:catAx>
      <c:valAx>
        <c:axId val="51723768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151423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zero"/>
    <c:showDLblsOverMax val="1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a-ES" sz="1200" b="1">
                <a:effectLst/>
              </a:rPr>
              <a:t>PS4.02_Ind02. Nombre d’informes d’avaluació retornats respecte del total rebuts</a:t>
            </a:r>
            <a:endParaRPr lang="ca-ES" sz="12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'PS4.02_Ind04'!$C$12</c:f>
              <c:strCache>
                <c:ptCount val="1"/>
                <c:pt idx="0">
                  <c:v>Dies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'PS4.02_Ind04'!$D$11:$I$11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'PS4.02_Ind04'!$D$12:$I$12</c:f>
              <c:numCache>
                <c:formatCode>General</c:formatCode>
                <c:ptCount val="6"/>
                <c:pt idx="0">
                  <c:v>0</c:v>
                </c:pt>
                <c:pt idx="1">
                  <c:v>11.19</c:v>
                </c:pt>
                <c:pt idx="2">
                  <c:v>8.0500000000000007</c:v>
                </c:pt>
                <c:pt idx="3">
                  <c:v>3.94</c:v>
                </c:pt>
                <c:pt idx="4">
                  <c:v>5.72</c:v>
                </c:pt>
                <c:pt idx="5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0D-4297-B230-5C9BA2EA3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1423127"/>
        <c:axId val="517237689"/>
      </c:barChart>
      <c:lineChart>
        <c:grouping val="standard"/>
        <c:varyColors val="1"/>
        <c:ser>
          <c:idx val="1"/>
          <c:order val="1"/>
          <c:tx>
            <c:strRef>
              <c:f>'PS4.02_Ind04'!$C$14</c:f>
              <c:strCache>
                <c:ptCount val="1"/>
                <c:pt idx="0">
                  <c:v>VALOR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'PS4.02_Ind04'!$D$11:$G$11</c:f>
              <c:strCache>
                <c:ptCount val="4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</c:strCache>
            </c:strRef>
          </c:cat>
          <c:val>
            <c:numRef>
              <c:f>'PS4.02_Ind04'!$D$14:$I$14</c:f>
              <c:numCache>
                <c:formatCode>General</c:formatCode>
                <c:ptCount val="6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0D-4297-B230-5C9BA2EA3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423127"/>
        <c:axId val="517237689"/>
      </c:lineChart>
      <c:catAx>
        <c:axId val="1151423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17237689"/>
        <c:crosses val="autoZero"/>
        <c:auto val="1"/>
        <c:lblAlgn val="ctr"/>
        <c:lblOffset val="100"/>
        <c:noMultiLvlLbl val="1"/>
      </c:catAx>
      <c:valAx>
        <c:axId val="51723768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151423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zero"/>
    <c:showDLblsOverMax val="1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a-ES"/>
              <a:t>PS4.03_Ind01. PDI permanent desglossat per categoria i sexe.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'PS4.03_Ind01'!$B$61</c:f>
              <c:strCache>
                <c:ptCount val="1"/>
                <c:pt idx="0">
                  <c:v>9. Gràfic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'PS4.03_Ind01'!$D$50:$F$50</c:f>
              <c:strCache>
                <c:ptCount val="3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</c:strCache>
            </c:strRef>
          </c:cat>
          <c:val>
            <c:numRef>
              <c:f>'PS4.03_Ind01'!$C$61:$E$61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7342-4E30-A64B-F060189F6BE1}"/>
            </c:ext>
          </c:extLst>
        </c:ser>
        <c:ser>
          <c:idx val="1"/>
          <c:order val="1"/>
          <c:tx>
            <c:strRef>
              <c:f>'PS4.03_Ind01'!$C$51</c:f>
              <c:strCache>
                <c:ptCount val="1"/>
                <c:pt idx="0">
                  <c:v>Física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'PS4.03_Ind01'!$D$50:$F$50</c:f>
              <c:strCache>
                <c:ptCount val="3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</c:strCache>
            </c:strRef>
          </c:cat>
          <c:val>
            <c:numRef>
              <c:f>'PS4.03_Ind01'!$D$51:$F$51</c:f>
              <c:numCache>
                <c:formatCode>0.00%</c:formatCode>
                <c:ptCount val="3"/>
                <c:pt idx="0">
                  <c:v>0.128</c:v>
                </c:pt>
                <c:pt idx="1">
                  <c:v>0.128</c:v>
                </c:pt>
                <c:pt idx="2">
                  <c:v>0.192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42-4E30-A64B-F060189F6BE1}"/>
            </c:ext>
          </c:extLst>
        </c:ser>
        <c:ser>
          <c:idx val="2"/>
          <c:order val="2"/>
          <c:tx>
            <c:strRef>
              <c:f>'PS4.03_Ind01'!$C$52</c:f>
              <c:strCache>
                <c:ptCount val="1"/>
                <c:pt idx="0">
                  <c:v>Química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'PS4.03_Ind01'!$D$50:$F$50</c:f>
              <c:strCache>
                <c:ptCount val="3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</c:strCache>
            </c:strRef>
          </c:cat>
          <c:val>
            <c:numRef>
              <c:f>'PS4.03_Ind01'!$D$52:$F$52</c:f>
              <c:numCache>
                <c:formatCode>0.00%</c:formatCode>
                <c:ptCount val="3"/>
                <c:pt idx="0">
                  <c:v>0.36199999999999999</c:v>
                </c:pt>
                <c:pt idx="1">
                  <c:v>0.36199999999999999</c:v>
                </c:pt>
                <c:pt idx="2">
                  <c:v>0.40400000000000003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42-4E30-A64B-F060189F6BE1}"/>
            </c:ext>
          </c:extLst>
        </c:ser>
        <c:ser>
          <c:idx val="3"/>
          <c:order val="3"/>
          <c:tx>
            <c:strRef>
              <c:f>'PS4.03_Ind01'!$C$53</c:f>
              <c:strCache>
                <c:ptCount val="1"/>
                <c:pt idx="0">
                  <c:v>Matemàtiques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'PS4.03_Ind01'!$D$50:$F$50</c:f>
              <c:strCache>
                <c:ptCount val="3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</c:strCache>
            </c:strRef>
          </c:cat>
          <c:val>
            <c:numRef>
              <c:f>'PS4.03_Ind01'!$D$53:$F$53</c:f>
              <c:numCache>
                <c:formatCode>0.00%</c:formatCode>
                <c:ptCount val="3"/>
                <c:pt idx="0">
                  <c:v>0.14799999999999999</c:v>
                </c:pt>
                <c:pt idx="1">
                  <c:v>0.14799999999999999</c:v>
                </c:pt>
                <c:pt idx="2">
                  <c:v>0.28299999999999997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42-4E30-A64B-F060189F6BE1}"/>
            </c:ext>
          </c:extLst>
        </c:ser>
        <c:ser>
          <c:idx val="4"/>
          <c:order val="4"/>
          <c:tx>
            <c:strRef>
              <c:f>'PS4.03_Ind01'!$C$54</c:f>
              <c:strCache>
                <c:ptCount val="1"/>
                <c:pt idx="0">
                  <c:v>Geologia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'PS4.03_Ind01'!$D$50:$F$50</c:f>
              <c:strCache>
                <c:ptCount val="3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</c:strCache>
            </c:strRef>
          </c:cat>
          <c:val>
            <c:numRef>
              <c:f>'PS4.03_Ind01'!$D$54:$F$54</c:f>
              <c:numCache>
                <c:formatCode>0.00%</c:formatCode>
                <c:ptCount val="3"/>
                <c:pt idx="0">
                  <c:v>0.27300000000000002</c:v>
                </c:pt>
                <c:pt idx="1">
                  <c:v>0.27300000000000002</c:v>
                </c:pt>
                <c:pt idx="2">
                  <c:v>0.20599999999999999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42-4E30-A64B-F060189F6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56820176"/>
        <c:axId val="1345493344"/>
      </c:barChart>
      <c:lineChart>
        <c:grouping val="standard"/>
        <c:varyColors val="0"/>
        <c:ser>
          <c:idx val="5"/>
          <c:order val="5"/>
          <c:tx>
            <c:strRef>
              <c:f>'PS4.03_Ind01'!$C$55</c:f>
              <c:strCache>
                <c:ptCount val="1"/>
                <c:pt idx="0">
                  <c:v>Valor objectiu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6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val>
            <c:numRef>
              <c:f>'PS4.03_Ind01'!$D$55:$F$55</c:f>
              <c:numCache>
                <c:formatCode>0%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342-4E30-A64B-F060189F6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6820176"/>
        <c:axId val="1345493344"/>
      </c:lineChart>
      <c:catAx>
        <c:axId val="125682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45493344"/>
        <c:crosses val="autoZero"/>
        <c:auto val="1"/>
        <c:lblAlgn val="ctr"/>
        <c:lblOffset val="100"/>
        <c:noMultiLvlLbl val="0"/>
      </c:catAx>
      <c:valAx>
        <c:axId val="134549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5682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600" b="1" i="0" u="none" strike="noStrike" baseline="0">
                <a:effectLst/>
              </a:rPr>
              <a:t>PS4.03_Ind02 Percentatge d’hores de docència impartides per PDI amb títol de doctor </a:t>
            </a:r>
            <a:endParaRPr lang="ca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'PS4.03_Ind02'!$B$37</c:f>
              <c:strCache>
                <c:ptCount val="1"/>
                <c:pt idx="0">
                  <c:v>9. Gràfic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'PS4.03_Ind02'!$D$12:$I$12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'PS4.03_Ind02'!$C$37:$E$37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FC4E-483D-A574-D12A53B3ED78}"/>
            </c:ext>
          </c:extLst>
        </c:ser>
        <c:ser>
          <c:idx val="1"/>
          <c:order val="1"/>
          <c:tx>
            <c:strRef>
              <c:f>'PS4.03_Ind02'!$B$13</c:f>
              <c:strCache>
                <c:ptCount val="1"/>
                <c:pt idx="0">
                  <c:v>Ciències Ambientals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'PS4.03_Ind02'!$D$12:$I$12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'PS4.03_Ind02'!$D$13:$I$13</c:f>
              <c:numCache>
                <c:formatCode>0%</c:formatCode>
                <c:ptCount val="6"/>
                <c:pt idx="0" formatCode="0.00%">
                  <c:v>0.86799999999999999</c:v>
                </c:pt>
                <c:pt idx="1">
                  <c:v>0.79</c:v>
                </c:pt>
                <c:pt idx="2">
                  <c:v>0.78</c:v>
                </c:pt>
                <c:pt idx="3">
                  <c:v>0.76</c:v>
                </c:pt>
                <c:pt idx="4" formatCode="0.00%">
                  <c:v>0.751</c:v>
                </c:pt>
                <c:pt idx="5" formatCode="0.00%">
                  <c:v>0.74280000000000002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4E-483D-A574-D12A53B3ED78}"/>
            </c:ext>
          </c:extLst>
        </c:ser>
        <c:ser>
          <c:idx val="2"/>
          <c:order val="2"/>
          <c:tx>
            <c:strRef>
              <c:f>'PS4.03_Ind02'!$B$14</c:f>
              <c:strCache>
                <c:ptCount val="1"/>
                <c:pt idx="0">
                  <c:v>Estadística Aplicada  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'PS4.03_Ind02'!$D$12:$I$12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'PS4.03_Ind02'!$D$14:$I$14</c:f>
              <c:numCache>
                <c:formatCode>0%</c:formatCode>
                <c:ptCount val="6"/>
                <c:pt idx="0">
                  <c:v>0.68</c:v>
                </c:pt>
                <c:pt idx="1">
                  <c:v>0.71</c:v>
                </c:pt>
                <c:pt idx="2">
                  <c:v>0.7</c:v>
                </c:pt>
                <c:pt idx="3">
                  <c:v>0.7</c:v>
                </c:pt>
                <c:pt idx="4" formatCode="0.00%">
                  <c:v>0.72189999999999999</c:v>
                </c:pt>
                <c:pt idx="5" formatCode="0.00%">
                  <c:v>0.68240000000000001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4E-483D-A574-D12A53B3ED78}"/>
            </c:ext>
          </c:extLst>
        </c:ser>
        <c:ser>
          <c:idx val="3"/>
          <c:order val="3"/>
          <c:tx>
            <c:strRef>
              <c:f>'PS4.03_Ind02'!$B$15</c:f>
              <c:strCache>
                <c:ptCount val="1"/>
                <c:pt idx="0">
                  <c:v>Geologia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'PS4.03_Ind02'!$D$12:$I$12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'PS4.03_Ind02'!$D$15:$I$15</c:f>
              <c:numCache>
                <c:formatCode>0%</c:formatCode>
                <c:ptCount val="6"/>
                <c:pt idx="0">
                  <c:v>0.85</c:v>
                </c:pt>
                <c:pt idx="1">
                  <c:v>0.86</c:v>
                </c:pt>
                <c:pt idx="2">
                  <c:v>0.82</c:v>
                </c:pt>
                <c:pt idx="3">
                  <c:v>0.81</c:v>
                </c:pt>
                <c:pt idx="4" formatCode="0.00%">
                  <c:v>0.78359999999999996</c:v>
                </c:pt>
                <c:pt idx="5" formatCode="0.00%">
                  <c:v>0.87190000000000001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4E-483D-A574-D12A53B3ED78}"/>
            </c:ext>
          </c:extLst>
        </c:ser>
        <c:ser>
          <c:idx val="4"/>
          <c:order val="4"/>
          <c:tx>
            <c:strRef>
              <c:f>'PS4.03_Ind02'!$B$17</c:f>
              <c:strCache>
                <c:ptCount val="1"/>
                <c:pt idx="0">
                  <c:v>Matemàtiques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'PS4.03_Ind02'!$D$12:$I$12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'PS4.03_Ind02'!$D$17:$I$17</c:f>
              <c:numCache>
                <c:formatCode>0%</c:formatCode>
                <c:ptCount val="6"/>
                <c:pt idx="0">
                  <c:v>0.88</c:v>
                </c:pt>
                <c:pt idx="1">
                  <c:v>0.94</c:v>
                </c:pt>
                <c:pt idx="2">
                  <c:v>0.94</c:v>
                </c:pt>
                <c:pt idx="3">
                  <c:v>0.95</c:v>
                </c:pt>
                <c:pt idx="4" formatCode="0.00%">
                  <c:v>0.93440000000000001</c:v>
                </c:pt>
                <c:pt idx="5" formatCode="0.00%">
                  <c:v>0.92849999999999999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4E-483D-A574-D12A53B3ED78}"/>
            </c:ext>
          </c:extLst>
        </c:ser>
        <c:ser>
          <c:idx val="5"/>
          <c:order val="5"/>
          <c:tx>
            <c:strRef>
              <c:f>'PS4.03_Ind02'!$B$16</c:f>
              <c:strCache>
                <c:ptCount val="1"/>
                <c:pt idx="0">
                  <c:v>Física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'PS4.03_Ind02'!$D$12:$I$12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'PS4.03_Ind02'!$D$16:$I$16</c:f>
              <c:numCache>
                <c:formatCode>0.00%</c:formatCode>
                <c:ptCount val="6"/>
                <c:pt idx="0" formatCode="0%">
                  <c:v>0.9</c:v>
                </c:pt>
                <c:pt idx="1">
                  <c:v>0.90400000000000003</c:v>
                </c:pt>
                <c:pt idx="2" formatCode="General">
                  <c:v>0</c:v>
                </c:pt>
                <c:pt idx="3" formatCode="0%">
                  <c:v>0.87</c:v>
                </c:pt>
                <c:pt idx="4">
                  <c:v>0.89190000000000003</c:v>
                </c:pt>
                <c:pt idx="5">
                  <c:v>0.90569999999999995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4E-483D-A574-D12A53B3ED78}"/>
            </c:ext>
          </c:extLst>
        </c:ser>
        <c:ser>
          <c:idx val="6"/>
          <c:order val="6"/>
          <c:tx>
            <c:strRef>
              <c:f>'PS4.03_Ind02'!$B$18</c:f>
              <c:strCache>
                <c:ptCount val="1"/>
                <c:pt idx="0">
                  <c:v>Química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'PS4.03_Ind02'!$D$12:$I$12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'PS4.03_Ind02'!$D$18:$I$18</c:f>
              <c:numCache>
                <c:formatCode>0%</c:formatCode>
                <c:ptCount val="6"/>
                <c:pt idx="0">
                  <c:v>0.83</c:v>
                </c:pt>
                <c:pt idx="1">
                  <c:v>0.83</c:v>
                </c:pt>
                <c:pt idx="2">
                  <c:v>0.86</c:v>
                </c:pt>
                <c:pt idx="3">
                  <c:v>0.81</c:v>
                </c:pt>
                <c:pt idx="4" formatCode="0.00%">
                  <c:v>0.78129999999999999</c:v>
                </c:pt>
                <c:pt idx="5" formatCode="0.00%">
                  <c:v>0.79469999999999996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4E-483D-A574-D12A53B3ED78}"/>
            </c:ext>
          </c:extLst>
        </c:ser>
        <c:ser>
          <c:idx val="7"/>
          <c:order val="7"/>
          <c:tx>
            <c:strRef>
              <c:f>'PS4.03_Ind02'!$B$19</c:f>
              <c:strCache>
                <c:ptCount val="1"/>
                <c:pt idx="0">
                  <c:v>Matemàtica Computacional i Analítica de Dades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'PS4.03_Ind02'!$D$12:$I$12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'PS4.03_Ind02'!$D$19:$I$19</c:f>
              <c:numCache>
                <c:formatCode>0%</c:formatCode>
                <c:ptCount val="6"/>
                <c:pt idx="0" formatCode="General">
                  <c:v>0</c:v>
                </c:pt>
                <c:pt idx="1">
                  <c:v>1</c:v>
                </c:pt>
                <c:pt idx="2">
                  <c:v>0.94</c:v>
                </c:pt>
                <c:pt idx="3">
                  <c:v>0.88</c:v>
                </c:pt>
                <c:pt idx="4" formatCode="0.00%">
                  <c:v>0.84130000000000005</c:v>
                </c:pt>
                <c:pt idx="5" formatCode="0.00%">
                  <c:v>0.83340000000000003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C4E-483D-A574-D12A53B3ED78}"/>
            </c:ext>
          </c:extLst>
        </c:ser>
        <c:ser>
          <c:idx val="8"/>
          <c:order val="8"/>
          <c:tx>
            <c:strRef>
              <c:f>'PS4.03_Ind02'!$B$20</c:f>
              <c:strCache>
                <c:ptCount val="1"/>
                <c:pt idx="0">
                  <c:v>Nanociència i Nanotecnologia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'PS4.03_Ind02'!$D$12:$I$12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'PS4.03_Ind02'!$D$20:$I$20</c:f>
              <c:numCache>
                <c:formatCode>0%</c:formatCode>
                <c:ptCount val="6"/>
                <c:pt idx="0">
                  <c:v>0.83</c:v>
                </c:pt>
                <c:pt idx="1">
                  <c:v>0.81</c:v>
                </c:pt>
                <c:pt idx="2">
                  <c:v>0.86</c:v>
                </c:pt>
                <c:pt idx="3">
                  <c:v>0.84</c:v>
                </c:pt>
                <c:pt idx="4">
                  <c:v>0.85</c:v>
                </c:pt>
                <c:pt idx="5" formatCode="0.00%">
                  <c:v>0.83350000000000002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4E-483D-A574-D12A53B3ED78}"/>
            </c:ext>
          </c:extLst>
        </c:ser>
        <c:ser>
          <c:idx val="9"/>
          <c:order val="9"/>
          <c:tx>
            <c:strRef>
              <c:f>'PS4.03_Ind02'!$B$21</c:f>
              <c:strCache>
                <c:ptCount val="1"/>
                <c:pt idx="0">
                  <c:v>CCAA + Geologia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'PS4.03_Ind02'!$D$12:$I$12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'PS4.03_Ind02'!$D$21:$I$21</c:f>
              <c:numCache>
                <c:formatCode>0%</c:formatCode>
                <c:ptCount val="6"/>
                <c:pt idx="0">
                  <c:v>0.86</c:v>
                </c:pt>
                <c:pt idx="1">
                  <c:v>0.82</c:v>
                </c:pt>
                <c:pt idx="2">
                  <c:v>0.79</c:v>
                </c:pt>
                <c:pt idx="3" formatCode="General">
                  <c:v>0</c:v>
                </c:pt>
                <c:pt idx="4">
                  <c:v>0.75890000000000002</c:v>
                </c:pt>
                <c:pt idx="5" formatCode="0.00%">
                  <c:v>0.80820000000000003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C4E-483D-A574-D12A53B3ED78}"/>
            </c:ext>
          </c:extLst>
        </c:ser>
        <c:ser>
          <c:idx val="10"/>
          <c:order val="10"/>
          <c:tx>
            <c:strRef>
              <c:f>'PS4.03_Ind02'!$B$22</c:f>
              <c:strCache>
                <c:ptCount val="1"/>
                <c:pt idx="0">
                  <c:v>Física i Química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'PS4.03_Ind02'!$D$12:$I$12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'PS4.03_Ind02'!$D$22:$I$22</c:f>
              <c:numCache>
                <c:formatCode>0%</c:formatCode>
                <c:ptCount val="6"/>
                <c:pt idx="0">
                  <c:v>0.96</c:v>
                </c:pt>
                <c:pt idx="1">
                  <c:v>0.94</c:v>
                </c:pt>
                <c:pt idx="2">
                  <c:v>0.94</c:v>
                </c:pt>
                <c:pt idx="3">
                  <c:v>0.93</c:v>
                </c:pt>
                <c:pt idx="4" formatCode="0.00%">
                  <c:v>0.80759999999999998</c:v>
                </c:pt>
                <c:pt idx="5" formatCode="0.00%">
                  <c:v>0.84099999999999997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C4E-483D-A574-D12A53B3ED78}"/>
            </c:ext>
          </c:extLst>
        </c:ser>
        <c:ser>
          <c:idx val="11"/>
          <c:order val="11"/>
          <c:tx>
            <c:strRef>
              <c:f>'PS4.03_Ind02'!$B$23</c:f>
              <c:strCache>
                <c:ptCount val="1"/>
                <c:pt idx="0">
                  <c:v>Física + Matemàtiques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'PS4.03_Ind02'!$D$12:$I$12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'PS4.03_Ind02'!$D$23:$I$23</c:f>
              <c:numCache>
                <c:formatCode>0%</c:formatCode>
                <c:ptCount val="6"/>
                <c:pt idx="0">
                  <c:v>0.85</c:v>
                </c:pt>
                <c:pt idx="1">
                  <c:v>0.87</c:v>
                </c:pt>
                <c:pt idx="2">
                  <c:v>0.9</c:v>
                </c:pt>
                <c:pt idx="3" formatCode="General">
                  <c:v>0</c:v>
                </c:pt>
                <c:pt idx="4" formatCode="0.00%">
                  <c:v>0.93269999999999997</c:v>
                </c:pt>
                <c:pt idx="5" formatCode="0.00%">
                  <c:v>0.92800000000000005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C4E-483D-A574-D12A53B3ED78}"/>
            </c:ext>
          </c:extLst>
        </c:ser>
        <c:ser>
          <c:idx val="12"/>
          <c:order val="12"/>
          <c:tx>
            <c:strRef>
              <c:f>'PS4.03_Ind02'!$B$25</c:f>
              <c:strCache>
                <c:ptCount val="1"/>
                <c:pt idx="0">
                  <c:v>Estudis Interdisciplinaris en Sostenibilitat Ambiental, Econòmica i Social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'PS4.03_Ind02'!$D$12:$I$12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'PS4.03_Ind02'!$D$25:$I$25</c:f>
              <c:numCache>
                <c:formatCode>0.00%</c:formatCode>
                <c:ptCount val="6"/>
                <c:pt idx="0">
                  <c:v>0.995</c:v>
                </c:pt>
                <c:pt idx="1">
                  <c:v>0.86199999999999999</c:v>
                </c:pt>
                <c:pt idx="2">
                  <c:v>0.88400000000000001</c:v>
                </c:pt>
                <c:pt idx="3">
                  <c:v>0.89500000000000002</c:v>
                </c:pt>
                <c:pt idx="4">
                  <c:v>0.93159999999999998</c:v>
                </c:pt>
                <c:pt idx="5">
                  <c:v>0.88290000000000002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C4E-483D-A574-D12A53B3ED78}"/>
            </c:ext>
          </c:extLst>
        </c:ser>
        <c:ser>
          <c:idx val="13"/>
          <c:order val="13"/>
          <c:tx>
            <c:strRef>
              <c:f>'PS4.03_Ind02'!$B$26</c:f>
              <c:strCache>
                <c:ptCount val="1"/>
                <c:pt idx="0">
                  <c:v>Física d'Altes Energies, Astrofísica i Cosmologia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'PS4.03_Ind02'!$D$12:$I$12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'PS4.03_Ind02'!$D$26:$I$26</c:f>
              <c:numCache>
                <c:formatCode>0%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 formatCode="0.00%">
                  <c:v>0.98599999999999999</c:v>
                </c:pt>
                <c:pt idx="4" formatCode="0.00%">
                  <c:v>0.99950000000000006</c:v>
                </c:pt>
                <c:pt idx="5" formatCode="0.00%">
                  <c:v>0.77349999999999997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C4E-483D-A574-D12A53B3ED78}"/>
            </c:ext>
          </c:extLst>
        </c:ser>
        <c:ser>
          <c:idx val="14"/>
          <c:order val="14"/>
          <c:tx>
            <c:strRef>
              <c:f>'PS4.03_Ind02'!$B$27</c:f>
              <c:strCache>
                <c:ptCount val="1"/>
                <c:pt idx="0">
                  <c:v>Història de la Ciència. Ciència, Història i Societat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'PS4.03_Ind02'!$D$12:$I$12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'PS4.03_Ind02'!$D$27:$I$27</c:f>
              <c:numCache>
                <c:formatCode>0%</c:formatCode>
                <c:ptCount val="6"/>
                <c:pt idx="0" formatCode="0.00%">
                  <c:v>0.96599999999999997</c:v>
                </c:pt>
                <c:pt idx="1">
                  <c:v>1</c:v>
                </c:pt>
                <c:pt idx="2" formatCode="0.00%">
                  <c:v>0.95599999999999996</c:v>
                </c:pt>
                <c:pt idx="3" formatCode="0.00%">
                  <c:v>0.97699999999999998</c:v>
                </c:pt>
                <c:pt idx="4" formatCode="0.00%">
                  <c:v>0.97340000000000004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C4E-483D-A574-D12A53B3ED78}"/>
            </c:ext>
          </c:extLst>
        </c:ser>
        <c:ser>
          <c:idx val="15"/>
          <c:order val="15"/>
          <c:tx>
            <c:strRef>
              <c:f>'PS4.03_Ind02'!$B$28</c:f>
              <c:strCache>
                <c:ptCount val="1"/>
                <c:pt idx="0">
                  <c:v>Modelització per a la Ciència i l'Enginyeria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'PS4.03_Ind02'!$D$12:$I$12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'PS4.03_Ind02'!$D$28:$I$28</c:f>
              <c:numCache>
                <c:formatCode>0.00%</c:formatCode>
                <c:ptCount val="6"/>
                <c:pt idx="0">
                  <c:v>0.96299999999999997</c:v>
                </c:pt>
                <c:pt idx="1">
                  <c:v>0.93100000000000005</c:v>
                </c:pt>
                <c:pt idx="2" formatCode="0%">
                  <c:v>0.97</c:v>
                </c:pt>
                <c:pt idx="3" formatCode="0%">
                  <c:v>0.91</c:v>
                </c:pt>
                <c:pt idx="4">
                  <c:v>0.97499999999999998</c:v>
                </c:pt>
                <c:pt idx="5">
                  <c:v>0.96020000000000005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C4E-483D-A574-D12A53B3ED78}"/>
            </c:ext>
          </c:extLst>
        </c:ser>
        <c:ser>
          <c:idx val="16"/>
          <c:order val="16"/>
          <c:tx>
            <c:strRef>
              <c:f>'PS4.03_Ind02'!$B$29</c:f>
              <c:strCache>
                <c:ptCount val="1"/>
                <c:pt idx="0">
                  <c:v>Nanociència i Nanotecnologia Avançades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'PS4.03_Ind02'!$D$12:$I$12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'PS4.03_Ind02'!$D$29:$I$29</c:f>
              <c:numCache>
                <c:formatCode>0%</c:formatCode>
                <c:ptCount val="6"/>
                <c:pt idx="0">
                  <c:v>1</c:v>
                </c:pt>
                <c:pt idx="1">
                  <c:v>1</c:v>
                </c:pt>
                <c:pt idx="2" formatCode="0.00%">
                  <c:v>0.996</c:v>
                </c:pt>
                <c:pt idx="3">
                  <c:v>1</c:v>
                </c:pt>
                <c:pt idx="4" formatCode="0.00%">
                  <c:v>0.91679999999999995</c:v>
                </c:pt>
                <c:pt idx="5" formatCode="0.00%">
                  <c:v>0.91700000000000004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C4E-483D-A574-D12A53B3ED78}"/>
            </c:ext>
          </c:extLst>
        </c:ser>
        <c:ser>
          <c:idx val="17"/>
          <c:order val="17"/>
          <c:tx>
            <c:strRef>
              <c:f>'PS4.03_Ind02'!$B$30</c:f>
              <c:strCache>
                <c:ptCount val="1"/>
                <c:pt idx="0">
                  <c:v>Química Industrial i Introducció a la Recerca Química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'PS4.03_Ind02'!$D$12:$I$12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'PS4.03_Ind02'!$D$30:$I$30</c:f>
              <c:numCache>
                <c:formatCode>General</c:formatCode>
                <c:ptCount val="6"/>
                <c:pt idx="0" formatCode="0.00%">
                  <c:v>0.94199999999999995</c:v>
                </c:pt>
                <c:pt idx="1">
                  <c:v>94.4</c:v>
                </c:pt>
                <c:pt idx="2">
                  <c:v>92.4</c:v>
                </c:pt>
                <c:pt idx="3">
                  <c:v>95.5</c:v>
                </c:pt>
                <c:pt idx="4" formatCode="0%">
                  <c:v>1</c:v>
                </c:pt>
                <c:pt idx="5" formatCode="0%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C4E-483D-A574-D12A53B3ED78}"/>
            </c:ext>
          </c:extLst>
        </c:ser>
        <c:ser>
          <c:idx val="18"/>
          <c:order val="18"/>
          <c:tx>
            <c:strRef>
              <c:f>'PS4.03_Ind02'!$B$31</c:f>
              <c:strCache>
                <c:ptCount val="1"/>
                <c:pt idx="0">
                  <c:v> Paleobiologia i Registre Fòssil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'PS4.03_Ind02'!$D$12:$I$12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'PS4.03_Ind02'!$D$31:$I$31</c:f>
              <c:numCache>
                <c:formatCode>0%</c:formatCode>
                <c:ptCount val="6"/>
                <c:pt idx="0">
                  <c:v>1</c:v>
                </c:pt>
                <c:pt idx="1">
                  <c:v>0.97</c:v>
                </c:pt>
                <c:pt idx="2">
                  <c:v>0.72</c:v>
                </c:pt>
                <c:pt idx="3">
                  <c:v>0.99</c:v>
                </c:pt>
                <c:pt idx="4">
                  <c:v>1</c:v>
                </c:pt>
                <c:pt idx="5" formatCode="0.00%">
                  <c:v>0.89900000000000002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C4E-483D-A574-D12A53B3E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30908528"/>
        <c:axId val="1266736544"/>
      </c:barChart>
      <c:lineChart>
        <c:grouping val="standard"/>
        <c:varyColors val="0"/>
        <c:ser>
          <c:idx val="19"/>
          <c:order val="19"/>
          <c:tx>
            <c:strRef>
              <c:f>'PS4.03_Ind02'!$B$34</c:f>
              <c:strCache>
                <c:ptCount val="1"/>
                <c:pt idx="0">
                  <c:v>Valor objectiu</c:v>
                </c:pt>
              </c:strCache>
            </c:strRef>
          </c:tx>
          <c:spPr>
            <a:ln w="34925" cap="rnd">
              <a:solidFill>
                <a:schemeClr val="accent2">
                  <a:lumMod val="8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>
                    <a:lumMod val="8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val>
            <c:numRef>
              <c:f>'PS4.03_Ind02'!$D$34:$I$34</c:f>
              <c:numCache>
                <c:formatCode>0%</c:formatCode>
                <c:ptCount val="6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C4E-483D-A574-D12A53B3E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0908528"/>
        <c:axId val="1266736544"/>
      </c:lineChart>
      <c:catAx>
        <c:axId val="133090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66736544"/>
        <c:crosses val="autoZero"/>
        <c:auto val="1"/>
        <c:lblAlgn val="ctr"/>
        <c:lblOffset val="100"/>
        <c:noMultiLvlLbl val="0"/>
      </c:catAx>
      <c:valAx>
        <c:axId val="126673654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30908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a-ES" sz="1200" b="1">
                <a:effectLst/>
              </a:rPr>
              <a:t>Percentatge d’hores de docència impartides pel PDI permanent.</a:t>
            </a:r>
            <a:endParaRPr lang="ca-E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'PS4.03_Ind03'!$B$13</c:f>
              <c:strCache>
                <c:ptCount val="1"/>
                <c:pt idx="0">
                  <c:v>Ciències Ambientals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'PS4.03_Ind03'!$D$12:$H$12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'PS4.03_Ind03'!$D$13:$H$13</c:f>
              <c:numCache>
                <c:formatCode>0%</c:formatCode>
                <c:ptCount val="5"/>
                <c:pt idx="0">
                  <c:v>0.49199999999999999</c:v>
                </c:pt>
                <c:pt idx="1">
                  <c:v>0.46400000000000002</c:v>
                </c:pt>
                <c:pt idx="2">
                  <c:v>0.41799999999999998</c:v>
                </c:pt>
                <c:pt idx="3">
                  <c:v>0.44019999999999998</c:v>
                </c:pt>
                <c:pt idx="4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E6-4EE0-B646-1854E1BB6A9C}"/>
            </c:ext>
          </c:extLst>
        </c:ser>
        <c:ser>
          <c:idx val="1"/>
          <c:order val="1"/>
          <c:tx>
            <c:strRef>
              <c:f>'PS4.03_Ind03'!$B$14</c:f>
              <c:strCache>
                <c:ptCount val="1"/>
                <c:pt idx="0">
                  <c:v>Ciències Ambientals i Grau en Geologia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'PS4.03_Ind03'!$D$12:$H$12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'PS4.03_Ind03'!$D$14:$H$14</c:f>
              <c:numCache>
                <c:formatCode>0%</c:formatCode>
                <c:ptCount val="5"/>
                <c:pt idx="0">
                  <c:v>0.50800000000000001</c:v>
                </c:pt>
                <c:pt idx="1">
                  <c:v>0.46200000000000002</c:v>
                </c:pt>
                <c:pt idx="2">
                  <c:v>0.48799999999999999</c:v>
                </c:pt>
                <c:pt idx="3">
                  <c:v>0.4491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E6-4EE0-B646-1854E1BB6A9C}"/>
            </c:ext>
          </c:extLst>
        </c:ser>
        <c:ser>
          <c:idx val="2"/>
          <c:order val="2"/>
          <c:tx>
            <c:strRef>
              <c:f>'PS4.03_Ind03'!$B$15</c:f>
              <c:strCache>
                <c:ptCount val="1"/>
                <c:pt idx="0">
                  <c:v>Estadística Aplicada  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'PS4.03_Ind03'!$D$12:$H$12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'PS4.03_Ind03'!$D$15:$H$15</c:f>
              <c:numCache>
                <c:formatCode>0%</c:formatCode>
                <c:ptCount val="5"/>
                <c:pt idx="0">
                  <c:v>0.52</c:v>
                </c:pt>
                <c:pt idx="1">
                  <c:v>0.45700000000000002</c:v>
                </c:pt>
                <c:pt idx="2">
                  <c:v>0.38700000000000001</c:v>
                </c:pt>
                <c:pt idx="3">
                  <c:v>0.43730000000000002</c:v>
                </c:pt>
                <c:pt idx="4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E6-4EE0-B646-1854E1BB6A9C}"/>
            </c:ext>
          </c:extLst>
        </c:ser>
        <c:ser>
          <c:idx val="3"/>
          <c:order val="3"/>
          <c:tx>
            <c:strRef>
              <c:f>'PS4.03_Ind03'!$B$16</c:f>
              <c:strCache>
                <c:ptCount val="1"/>
                <c:pt idx="0">
                  <c:v>Física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'PS4.03_Ind03'!$D$12:$H$12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'PS4.03_Ind03'!$D$16:$H$16</c:f>
              <c:numCache>
                <c:formatCode>0%</c:formatCode>
                <c:ptCount val="5"/>
                <c:pt idx="0">
                  <c:v>0.68600000000000005</c:v>
                </c:pt>
                <c:pt idx="1">
                  <c:v>0.67900000000000005</c:v>
                </c:pt>
                <c:pt idx="2">
                  <c:v>0.68400000000000005</c:v>
                </c:pt>
                <c:pt idx="3">
                  <c:v>0.69730000000000003</c:v>
                </c:pt>
                <c:pt idx="4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E6-4EE0-B646-1854E1BB6A9C}"/>
            </c:ext>
          </c:extLst>
        </c:ser>
        <c:ser>
          <c:idx val="4"/>
          <c:order val="4"/>
          <c:tx>
            <c:strRef>
              <c:f>'PS4.03_Ind03'!$B$17</c:f>
              <c:strCache>
                <c:ptCount val="1"/>
                <c:pt idx="0">
                  <c:v>Física i Química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'PS4.03_Ind03'!$D$12:$H$12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'PS4.03_Ind03'!$D$17:$H$17</c:f>
              <c:numCache>
                <c:formatCode>0%</c:formatCode>
                <c:ptCount val="5"/>
                <c:pt idx="0">
                  <c:v>0.71499999999999997</c:v>
                </c:pt>
                <c:pt idx="1">
                  <c:v>0.70899999999999996</c:v>
                </c:pt>
                <c:pt idx="2">
                  <c:v>0.64500000000000002</c:v>
                </c:pt>
                <c:pt idx="3">
                  <c:v>0.57050000000000001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E6-4EE0-B646-1854E1BB6A9C}"/>
            </c:ext>
          </c:extLst>
        </c:ser>
        <c:ser>
          <c:idx val="5"/>
          <c:order val="5"/>
          <c:tx>
            <c:strRef>
              <c:f>'PS4.03_Ind03'!$B$18</c:f>
              <c:strCache>
                <c:ptCount val="1"/>
                <c:pt idx="0">
                  <c:v>Física i matemàtiques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'PS4.03_Ind03'!$D$12:$H$12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'PS4.03_Ind03'!$D$18:$H$18</c:f>
              <c:numCache>
                <c:formatCode>0%</c:formatCode>
                <c:ptCount val="5"/>
                <c:pt idx="0">
                  <c:v>0.76700000000000002</c:v>
                </c:pt>
                <c:pt idx="1">
                  <c:v>0.78200000000000003</c:v>
                </c:pt>
                <c:pt idx="2">
                  <c:v>0.72399999999999998</c:v>
                </c:pt>
                <c:pt idx="3">
                  <c:v>0.74019999999999997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E6-4EE0-B646-1854E1BB6A9C}"/>
            </c:ext>
          </c:extLst>
        </c:ser>
        <c:ser>
          <c:idx val="6"/>
          <c:order val="6"/>
          <c:tx>
            <c:strRef>
              <c:f>'PS4.03_Ind03'!$B$19</c:f>
              <c:strCache>
                <c:ptCount val="1"/>
                <c:pt idx="0">
                  <c:v>Geologia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'PS4.03_Ind03'!$D$12:$H$12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'PS4.03_Ind03'!$D$19:$H$19</c:f>
              <c:numCache>
                <c:formatCode>0%</c:formatCode>
                <c:ptCount val="5"/>
                <c:pt idx="0">
                  <c:v>0.54600000000000004</c:v>
                </c:pt>
                <c:pt idx="1">
                  <c:v>0.501</c:v>
                </c:pt>
                <c:pt idx="2">
                  <c:v>0.53300000000000003</c:v>
                </c:pt>
                <c:pt idx="3">
                  <c:v>0.48099999999999998</c:v>
                </c:pt>
                <c:pt idx="4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3E6-4EE0-B646-1854E1BB6A9C}"/>
            </c:ext>
          </c:extLst>
        </c:ser>
        <c:ser>
          <c:idx val="7"/>
          <c:order val="7"/>
          <c:tx>
            <c:strRef>
              <c:f>'PS4.03_Ind03'!$B$20</c:f>
              <c:strCache>
                <c:ptCount val="1"/>
                <c:pt idx="0">
                  <c:v>Matemàtica Computacional i Analítica de Dades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'PS4.03_Ind03'!$D$12:$H$12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'PS4.03_Ind03'!$D$20:$H$20</c:f>
              <c:numCache>
                <c:formatCode>0%</c:formatCode>
                <c:ptCount val="5"/>
                <c:pt idx="0">
                  <c:v>0.71099999999999997</c:v>
                </c:pt>
                <c:pt idx="1">
                  <c:v>0.80100000000000005</c:v>
                </c:pt>
                <c:pt idx="2">
                  <c:v>0.63400000000000001</c:v>
                </c:pt>
                <c:pt idx="3">
                  <c:v>0.6724</c:v>
                </c:pt>
                <c:pt idx="4">
                  <c:v>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E6-4EE0-B646-1854E1BB6A9C}"/>
            </c:ext>
          </c:extLst>
        </c:ser>
        <c:ser>
          <c:idx val="8"/>
          <c:order val="8"/>
          <c:tx>
            <c:strRef>
              <c:f>'PS4.03_Ind03'!$B$21</c:f>
              <c:strCache>
                <c:ptCount val="1"/>
                <c:pt idx="0">
                  <c:v>Matemàtiques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'PS4.03_Ind03'!$D$12:$H$12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'PS4.03_Ind03'!$D$21:$H$21</c:f>
              <c:numCache>
                <c:formatCode>0%</c:formatCode>
                <c:ptCount val="5"/>
                <c:pt idx="0">
                  <c:v>0.81799999999999995</c:v>
                </c:pt>
                <c:pt idx="1">
                  <c:v>0.82799999999999996</c:v>
                </c:pt>
                <c:pt idx="2">
                  <c:v>0.752</c:v>
                </c:pt>
                <c:pt idx="3">
                  <c:v>0.7702</c:v>
                </c:pt>
                <c:pt idx="4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E6-4EE0-B646-1854E1BB6A9C}"/>
            </c:ext>
          </c:extLst>
        </c:ser>
        <c:ser>
          <c:idx val="9"/>
          <c:order val="9"/>
          <c:tx>
            <c:strRef>
              <c:f>'PS4.03_Ind03'!$B$22</c:f>
              <c:strCache>
                <c:ptCount val="1"/>
                <c:pt idx="0">
                  <c:v>Nanociència i Nanotecnologia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'PS4.03_Ind03'!$D$12:$H$12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'PS4.03_Ind03'!$D$22:$H$22</c:f>
              <c:numCache>
                <c:formatCode>0%</c:formatCode>
                <c:ptCount val="5"/>
                <c:pt idx="0">
                  <c:v>0.55300000000000005</c:v>
                </c:pt>
                <c:pt idx="1">
                  <c:v>0.53</c:v>
                </c:pt>
                <c:pt idx="2">
                  <c:v>0.51800000000000002</c:v>
                </c:pt>
                <c:pt idx="3">
                  <c:v>0.57789999999999997</c:v>
                </c:pt>
                <c:pt idx="4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3E6-4EE0-B646-1854E1BB6A9C}"/>
            </c:ext>
          </c:extLst>
        </c:ser>
        <c:ser>
          <c:idx val="10"/>
          <c:order val="10"/>
          <c:tx>
            <c:strRef>
              <c:f>'PS4.03_Ind03'!$B$23</c:f>
              <c:strCache>
                <c:ptCount val="1"/>
                <c:pt idx="0">
                  <c:v>Química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'PS4.03_Ind03'!$D$12:$H$12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'PS4.03_Ind03'!$D$23:$H$23</c:f>
              <c:numCache>
                <c:formatCode>0%</c:formatCode>
                <c:ptCount val="5"/>
                <c:pt idx="0">
                  <c:v>0.70399999999999996</c:v>
                </c:pt>
                <c:pt idx="1">
                  <c:v>0.74299999999999999</c:v>
                </c:pt>
                <c:pt idx="2">
                  <c:v>0.59399999999999997</c:v>
                </c:pt>
                <c:pt idx="3">
                  <c:v>0.51829999999999998</c:v>
                </c:pt>
                <c:pt idx="4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3E6-4EE0-B646-1854E1BB6A9C}"/>
            </c:ext>
          </c:extLst>
        </c:ser>
        <c:ser>
          <c:idx val="11"/>
          <c:order val="11"/>
          <c:tx>
            <c:strRef>
              <c:f>'PS4.03_Ind03'!#REF!</c:f>
              <c:strCache>
                <c:ptCount val="1"/>
                <c:pt idx="0">
                  <c:v>#¡REF!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'PS4.03_Ind03'!$D$12:$H$12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'PS4.03_Ind03'!#REF!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3E6-4EE0-B646-1854E1BB6A9C}"/>
            </c:ext>
          </c:extLst>
        </c:ser>
        <c:ser>
          <c:idx val="12"/>
          <c:order val="12"/>
          <c:tx>
            <c:strRef>
              <c:f>'PS4.03_Ind03'!#REF!</c:f>
              <c:strCache>
                <c:ptCount val="1"/>
                <c:pt idx="0">
                  <c:v>#¡REF!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'PS4.03_Ind03'!$D$12:$H$12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'PS4.03_Ind03'!#REF!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3E6-4EE0-B646-1854E1BB6A9C}"/>
            </c:ext>
          </c:extLst>
        </c:ser>
        <c:ser>
          <c:idx val="13"/>
          <c:order val="13"/>
          <c:tx>
            <c:strRef>
              <c:f>'PS4.03_Ind03'!#REF!</c:f>
              <c:strCache>
                <c:ptCount val="1"/>
                <c:pt idx="0">
                  <c:v>#¡REF!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'PS4.03_Ind03'!$D$12:$H$12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'PS4.03_Ind03'!#REF!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3E6-4EE0-B646-1854E1BB6A9C}"/>
            </c:ext>
          </c:extLst>
        </c:ser>
        <c:ser>
          <c:idx val="14"/>
          <c:order val="14"/>
          <c:tx>
            <c:strRef>
              <c:f>'PS4.03_Ind03'!#REF!</c:f>
              <c:strCache>
                <c:ptCount val="1"/>
                <c:pt idx="0">
                  <c:v>#¡REF!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'PS4.03_Ind03'!$D$12:$H$12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'PS4.03_Ind03'!#REF!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E6-4EE0-B646-1854E1BB6A9C}"/>
            </c:ext>
          </c:extLst>
        </c:ser>
        <c:ser>
          <c:idx val="15"/>
          <c:order val="15"/>
          <c:tx>
            <c:strRef>
              <c:f>'PS4.03_Ind03'!#REF!</c:f>
              <c:strCache>
                <c:ptCount val="1"/>
                <c:pt idx="0">
                  <c:v>#¡REF!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'PS4.03_Ind03'!$D$12:$H$12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'PS4.03_Ind03'!#REF!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3E6-4EE0-B646-1854E1BB6A9C}"/>
            </c:ext>
          </c:extLst>
        </c:ser>
        <c:ser>
          <c:idx val="16"/>
          <c:order val="16"/>
          <c:tx>
            <c:strRef>
              <c:f>'PS4.03_Ind03'!#REF!</c:f>
              <c:strCache>
                <c:ptCount val="1"/>
                <c:pt idx="0">
                  <c:v>#¡REF!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'PS4.03_Ind03'!$D$12:$H$12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'PS4.03_Ind03'!#REF!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3E6-4EE0-B646-1854E1BB6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77754480"/>
        <c:axId val="1765698976"/>
      </c:barChart>
      <c:lineChart>
        <c:grouping val="standard"/>
        <c:varyColors val="0"/>
        <c:ser>
          <c:idx val="17"/>
          <c:order val="17"/>
          <c:tx>
            <c:strRef>
              <c:f>'PS4.03_Ind03'!$B$26</c:f>
              <c:strCache>
                <c:ptCount val="1"/>
                <c:pt idx="0">
                  <c:v>Valor objectiu</c:v>
                </c:pt>
              </c:strCache>
            </c:strRef>
          </c:tx>
          <c:spPr>
            <a:ln w="3492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6">
                    <a:lumMod val="80000"/>
                    <a:lumOff val="2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'PS4.03_Ind03'!$D$12:$G$12</c:f>
              <c:strCache>
                <c:ptCount val="4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</c:strCache>
            </c:strRef>
          </c:cat>
          <c:val>
            <c:numRef>
              <c:f>'PS4.03_Ind03'!$D$26:$H$26</c:f>
              <c:numCache>
                <c:formatCode>0.00%</c:formatCode>
                <c:ptCount val="5"/>
                <c:pt idx="0">
                  <c:v>0.55000000000000004</c:v>
                </c:pt>
                <c:pt idx="1">
                  <c:v>0.55000000000000004</c:v>
                </c:pt>
                <c:pt idx="2">
                  <c:v>0.55000000000000004</c:v>
                </c:pt>
                <c:pt idx="3">
                  <c:v>0.55000000000000004</c:v>
                </c:pt>
                <c:pt idx="4">
                  <c:v>0.55000000000000004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3E6-4EE0-B646-1854E1BB6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7754480"/>
        <c:axId val="1765698976"/>
      </c:lineChart>
      <c:catAx>
        <c:axId val="137775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765698976"/>
        <c:crosses val="autoZero"/>
        <c:auto val="1"/>
        <c:lblAlgn val="ctr"/>
        <c:lblOffset val="100"/>
        <c:noMultiLvlLbl val="0"/>
      </c:catAx>
      <c:valAx>
        <c:axId val="176569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77754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 b="1">
                <a:effectLst/>
              </a:rPr>
              <a:t>PS4.03_Ind04. </a:t>
            </a:r>
            <a:r>
              <a:rPr lang="ca-ES" sz="1000" b="1">
                <a:effectLst/>
              </a:rPr>
              <a:t>Valoració mitjana per titulació a l’afirmació “Estic satisfet/a amb el professorat”, de l’enquesta de satisfacció dels titulats i titulades</a:t>
            </a:r>
            <a:endParaRPr lang="ca-ES" sz="10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'PS4.03_Ind04'!$B$36</c:f>
              <c:strCache>
                <c:ptCount val="1"/>
                <c:pt idx="0">
                  <c:v>9. Gràfic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'PS4.03_Ind04'!$D$12:$I$12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'PS4.03_Ind04'!$C$36:$E$36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9950-4A87-946E-73EE68DFD6FB}"/>
            </c:ext>
          </c:extLst>
        </c:ser>
        <c:ser>
          <c:idx val="1"/>
          <c:order val="1"/>
          <c:tx>
            <c:strRef>
              <c:f>'PS4.03_Ind04'!$B$13</c:f>
              <c:strCache>
                <c:ptCount val="1"/>
                <c:pt idx="0">
                  <c:v>Ciències Ambientals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'PS4.03_Ind04'!$D$12:$I$12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'PS4.03_Ind04'!$D$13:$H$13</c:f>
              <c:numCache>
                <c:formatCode>General</c:formatCode>
                <c:ptCount val="5"/>
                <c:pt idx="0">
                  <c:v>3.25</c:v>
                </c:pt>
                <c:pt idx="1">
                  <c:v>3.63</c:v>
                </c:pt>
                <c:pt idx="2">
                  <c:v>3.6</c:v>
                </c:pt>
                <c:pt idx="3">
                  <c:v>3.6</c:v>
                </c:pt>
                <c:pt idx="4">
                  <c:v>3.47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50-4A87-946E-73EE68DFD6FB}"/>
            </c:ext>
          </c:extLst>
        </c:ser>
        <c:ser>
          <c:idx val="2"/>
          <c:order val="2"/>
          <c:tx>
            <c:strRef>
              <c:f>'PS4.03_Ind04'!$B$14</c:f>
              <c:strCache>
                <c:ptCount val="1"/>
                <c:pt idx="0">
                  <c:v>Ciències Ambientals i Grau en Geologia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'PS4.03_Ind04'!$D$12:$I$12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'PS4.03_Ind04'!$D$14:$H$14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50-4A87-946E-73EE68DFD6FB}"/>
            </c:ext>
          </c:extLst>
        </c:ser>
        <c:ser>
          <c:idx val="3"/>
          <c:order val="3"/>
          <c:tx>
            <c:strRef>
              <c:f>'PS4.03_Ind04'!$B$15</c:f>
              <c:strCache>
                <c:ptCount val="1"/>
                <c:pt idx="0">
                  <c:v>Estadística Aplicada  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'PS4.03_Ind04'!$D$12:$I$12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'PS4.03_Ind04'!$D$15:$H$15</c:f>
              <c:numCache>
                <c:formatCode>General</c:formatCode>
                <c:ptCount val="5"/>
                <c:pt idx="0">
                  <c:v>4</c:v>
                </c:pt>
                <c:pt idx="1">
                  <c:v>2</c:v>
                </c:pt>
                <c:pt idx="2">
                  <c:v>3.4</c:v>
                </c:pt>
                <c:pt idx="3">
                  <c:v>4</c:v>
                </c:pt>
                <c:pt idx="4">
                  <c:v>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50-4A87-946E-73EE68DFD6FB}"/>
            </c:ext>
          </c:extLst>
        </c:ser>
        <c:ser>
          <c:idx val="4"/>
          <c:order val="4"/>
          <c:tx>
            <c:strRef>
              <c:f>'PS4.03_Ind04'!$B$16</c:f>
              <c:strCache>
                <c:ptCount val="1"/>
                <c:pt idx="0">
                  <c:v>Física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'PS4.03_Ind04'!$D$12:$I$12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'PS4.03_Ind04'!$D$16:$H$16</c:f>
              <c:numCache>
                <c:formatCode>General</c:formatCode>
                <c:ptCount val="5"/>
                <c:pt idx="0">
                  <c:v>2.44</c:v>
                </c:pt>
                <c:pt idx="1">
                  <c:v>4.2</c:v>
                </c:pt>
                <c:pt idx="2">
                  <c:v>3.83</c:v>
                </c:pt>
                <c:pt idx="3">
                  <c:v>2.5</c:v>
                </c:pt>
                <c:pt idx="4">
                  <c:v>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50-4A87-946E-73EE68DFD6FB}"/>
            </c:ext>
          </c:extLst>
        </c:ser>
        <c:ser>
          <c:idx val="5"/>
          <c:order val="5"/>
          <c:tx>
            <c:strRef>
              <c:f>'PS4.03_Ind04'!$B$17</c:f>
              <c:strCache>
                <c:ptCount val="1"/>
                <c:pt idx="0">
                  <c:v>Física i Matemàtiques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'PS4.03_Ind04'!$D$12:$I$12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'PS4.03_Ind04'!$D$17:$H$17</c:f>
              <c:numCache>
                <c:formatCode>General</c:formatCode>
                <c:ptCount val="5"/>
                <c:pt idx="0">
                  <c:v>3</c:v>
                </c:pt>
                <c:pt idx="1">
                  <c:v>2.95</c:v>
                </c:pt>
                <c:pt idx="2">
                  <c:v>3.15</c:v>
                </c:pt>
                <c:pt idx="3">
                  <c:v>2.67</c:v>
                </c:pt>
                <c:pt idx="4">
                  <c:v>3.56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50-4A87-946E-73EE68DFD6FB}"/>
            </c:ext>
          </c:extLst>
        </c:ser>
        <c:ser>
          <c:idx val="6"/>
          <c:order val="6"/>
          <c:tx>
            <c:strRef>
              <c:f>'PS4.03_Ind04'!$B$18</c:f>
              <c:strCache>
                <c:ptCount val="1"/>
                <c:pt idx="0">
                  <c:v>Física i Química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'PS4.03_Ind04'!$D$12:$I$12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'PS4.03_Ind04'!$D$18:$H$18</c:f>
              <c:numCache>
                <c:formatCode>General</c:formatCode>
                <c:ptCount val="5"/>
                <c:pt idx="0">
                  <c:v>3.13</c:v>
                </c:pt>
                <c:pt idx="1">
                  <c:v>3.25</c:v>
                </c:pt>
                <c:pt idx="2">
                  <c:v>0</c:v>
                </c:pt>
                <c:pt idx="3">
                  <c:v>3</c:v>
                </c:pt>
                <c:pt idx="4">
                  <c:v>3.63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50-4A87-946E-73EE68DFD6FB}"/>
            </c:ext>
          </c:extLst>
        </c:ser>
        <c:ser>
          <c:idx val="7"/>
          <c:order val="7"/>
          <c:tx>
            <c:strRef>
              <c:f>'PS4.03_Ind04'!$B$19</c:f>
              <c:strCache>
                <c:ptCount val="1"/>
                <c:pt idx="0">
                  <c:v>Geologia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'PS4.03_Ind04'!$D$12:$I$12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'PS4.03_Ind04'!$D$19:$H$19</c:f>
              <c:numCache>
                <c:formatCode>General</c:formatCode>
                <c:ptCount val="5"/>
                <c:pt idx="0">
                  <c:v>3.2</c:v>
                </c:pt>
                <c:pt idx="1">
                  <c:v>3.71</c:v>
                </c:pt>
                <c:pt idx="2">
                  <c:v>0</c:v>
                </c:pt>
                <c:pt idx="3">
                  <c:v>3.5</c:v>
                </c:pt>
                <c:pt idx="4">
                  <c:v>3.86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950-4A87-946E-73EE68DFD6FB}"/>
            </c:ext>
          </c:extLst>
        </c:ser>
        <c:ser>
          <c:idx val="8"/>
          <c:order val="8"/>
          <c:tx>
            <c:strRef>
              <c:f>'PS4.03_Ind04'!$B$20</c:f>
              <c:strCache>
                <c:ptCount val="1"/>
                <c:pt idx="0">
                  <c:v>Matemàtica Computacional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'PS4.03_Ind04'!$D$12:$I$12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'PS4.03_Ind04'!$D$20:$H$20</c:f>
              <c:numCache>
                <c:formatCode>General</c:formatCode>
                <c:ptCount val="5"/>
                <c:pt idx="0">
                  <c:v>3.8</c:v>
                </c:pt>
                <c:pt idx="1">
                  <c:v>3.33</c:v>
                </c:pt>
                <c:pt idx="2">
                  <c:v>0</c:v>
                </c:pt>
                <c:pt idx="3">
                  <c:v>0</c:v>
                </c:pt>
                <c:pt idx="4">
                  <c:v>4.8600000000000003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50-4A87-946E-73EE68DFD6FB}"/>
            </c:ext>
          </c:extLst>
        </c:ser>
        <c:ser>
          <c:idx val="9"/>
          <c:order val="9"/>
          <c:tx>
            <c:strRef>
              <c:f>'PS4.03_Ind04'!$B$21</c:f>
              <c:strCache>
                <c:ptCount val="1"/>
                <c:pt idx="0">
                  <c:v>Matemàtiques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'PS4.03_Ind04'!$D$12:$I$12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'PS4.03_Ind04'!$D$21:$H$21</c:f>
              <c:numCache>
                <c:formatCode>General</c:formatCode>
                <c:ptCount val="5"/>
                <c:pt idx="0">
                  <c:v>3.64</c:v>
                </c:pt>
                <c:pt idx="1">
                  <c:v>4.07</c:v>
                </c:pt>
                <c:pt idx="2">
                  <c:v>3.55</c:v>
                </c:pt>
                <c:pt idx="3">
                  <c:v>3.2</c:v>
                </c:pt>
                <c:pt idx="4">
                  <c:v>4.03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950-4A87-946E-73EE68DFD6FB}"/>
            </c:ext>
          </c:extLst>
        </c:ser>
        <c:ser>
          <c:idx val="10"/>
          <c:order val="10"/>
          <c:tx>
            <c:strRef>
              <c:f>'PS4.03_Ind04'!$B$22</c:f>
              <c:strCache>
                <c:ptCount val="1"/>
                <c:pt idx="0">
                  <c:v>Nanociència i Nanotecnologia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'PS4.03_Ind04'!$D$12:$I$12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'PS4.03_Ind04'!$D$22:$H$22</c:f>
              <c:numCache>
                <c:formatCode>General</c:formatCode>
                <c:ptCount val="5"/>
                <c:pt idx="0">
                  <c:v>3.4</c:v>
                </c:pt>
                <c:pt idx="1">
                  <c:v>3.33</c:v>
                </c:pt>
                <c:pt idx="2">
                  <c:v>3.4</c:v>
                </c:pt>
                <c:pt idx="3">
                  <c:v>3</c:v>
                </c:pt>
                <c:pt idx="4">
                  <c:v>3.64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50-4A87-946E-73EE68DFD6FB}"/>
            </c:ext>
          </c:extLst>
        </c:ser>
        <c:ser>
          <c:idx val="11"/>
          <c:order val="11"/>
          <c:tx>
            <c:strRef>
              <c:f>'PS4.03_Ind04'!$B$23</c:f>
              <c:strCache>
                <c:ptCount val="1"/>
                <c:pt idx="0">
                  <c:v>Química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'PS4.03_Ind04'!$D$12:$I$12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'PS4.03_Ind04'!$D$23:$H$23</c:f>
              <c:numCache>
                <c:formatCode>General</c:formatCode>
                <c:ptCount val="5"/>
                <c:pt idx="0">
                  <c:v>0</c:v>
                </c:pt>
                <c:pt idx="1">
                  <c:v>3.15</c:v>
                </c:pt>
                <c:pt idx="2">
                  <c:v>3.17</c:v>
                </c:pt>
                <c:pt idx="3">
                  <c:v>4</c:v>
                </c:pt>
                <c:pt idx="4">
                  <c:v>3.32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950-4A87-946E-73EE68DFD6FB}"/>
            </c:ext>
          </c:extLst>
        </c:ser>
        <c:ser>
          <c:idx val="12"/>
          <c:order val="12"/>
          <c:tx>
            <c:strRef>
              <c:f>'PS4.03_Ind04'!$B$24</c:f>
              <c:strCache>
                <c:ptCount val="1"/>
                <c:pt idx="0">
                  <c:v>Estudis Interdisciplinaris en Sostenibilitat Ambiental, Econòmica i Social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'PS4.03_Ind04'!$D$12:$I$12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'PS4.03_Ind04'!$D$24:$H$24</c:f>
              <c:numCache>
                <c:formatCode>General</c:formatCode>
                <c:ptCount val="5"/>
                <c:pt idx="0">
                  <c:v>3</c:v>
                </c:pt>
                <c:pt idx="1">
                  <c:v>5</c:v>
                </c:pt>
                <c:pt idx="2">
                  <c:v>3.83</c:v>
                </c:pt>
                <c:pt idx="3">
                  <c:v>0</c:v>
                </c:pt>
                <c:pt idx="4">
                  <c:v>3.72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950-4A87-946E-73EE68DFD6FB}"/>
            </c:ext>
          </c:extLst>
        </c:ser>
        <c:ser>
          <c:idx val="13"/>
          <c:order val="13"/>
          <c:tx>
            <c:strRef>
              <c:f>'PS4.03_Ind04'!$B$25</c:f>
              <c:strCache>
                <c:ptCount val="1"/>
                <c:pt idx="0">
                  <c:v>Física d'Altes Energies, Astrofísica i Cosmologia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'PS4.03_Ind04'!$D$12:$I$12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'PS4.03_Ind04'!$D$25:$H$25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950-4A87-946E-73EE68DFD6FB}"/>
            </c:ext>
          </c:extLst>
        </c:ser>
        <c:ser>
          <c:idx val="14"/>
          <c:order val="14"/>
          <c:tx>
            <c:strRef>
              <c:f>'PS4.03_Ind04'!$B$26</c:f>
              <c:strCache>
                <c:ptCount val="1"/>
                <c:pt idx="0">
                  <c:v>Història de la Ciència: Ciència, Història i Societat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'PS4.03_Ind04'!$D$12:$I$12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'PS4.03_Ind04'!$D$26:$H$26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4.22</c:v>
                </c:pt>
                <c:pt idx="3">
                  <c:v>0</c:v>
                </c:pt>
                <c:pt idx="4">
                  <c:v>4.09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950-4A87-946E-73EE68DFD6FB}"/>
            </c:ext>
          </c:extLst>
        </c:ser>
        <c:ser>
          <c:idx val="15"/>
          <c:order val="15"/>
          <c:tx>
            <c:strRef>
              <c:f>'PS4.03_Ind04'!$B$27</c:f>
              <c:strCache>
                <c:ptCount val="1"/>
                <c:pt idx="0">
                  <c:v>Modelització per a la Ciència i l'Enginyeria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'PS4.03_Ind04'!$D$12:$I$12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'PS4.03_Ind04'!$D$27:$H$27</c:f>
              <c:numCache>
                <c:formatCode>General</c:formatCode>
                <c:ptCount val="5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950-4A87-946E-73EE68DFD6FB}"/>
            </c:ext>
          </c:extLst>
        </c:ser>
        <c:ser>
          <c:idx val="16"/>
          <c:order val="16"/>
          <c:tx>
            <c:strRef>
              <c:f>'PS4.03_Ind04'!$B$28</c:f>
              <c:strCache>
                <c:ptCount val="1"/>
                <c:pt idx="0">
                  <c:v>Nanociència i Nanotecnologia Avançades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'PS4.03_Ind04'!$D$12:$I$12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'PS4.03_Ind04'!$D$28:$H$28</c:f>
              <c:numCache>
                <c:formatCode>General</c:formatCode>
                <c:ptCount val="5"/>
                <c:pt idx="0">
                  <c:v>3</c:v>
                </c:pt>
                <c:pt idx="1">
                  <c:v>3.67</c:v>
                </c:pt>
                <c:pt idx="2">
                  <c:v>0</c:v>
                </c:pt>
                <c:pt idx="3">
                  <c:v>3</c:v>
                </c:pt>
                <c:pt idx="4">
                  <c:v>3.78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950-4A87-946E-73EE68DFD6FB}"/>
            </c:ext>
          </c:extLst>
        </c:ser>
        <c:ser>
          <c:idx val="17"/>
          <c:order val="17"/>
          <c:tx>
            <c:strRef>
              <c:f>'PS4.03_Ind04'!$B$29</c:f>
              <c:strCache>
                <c:ptCount val="1"/>
                <c:pt idx="0">
                  <c:v>Paleobiologia i Registre Fòssil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'PS4.03_Ind04'!$D$12:$I$12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'PS4.03_Ind04'!$D$29:$H$29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950-4A87-946E-73EE68DFD6FB}"/>
            </c:ext>
          </c:extLst>
        </c:ser>
        <c:ser>
          <c:idx val="18"/>
          <c:order val="18"/>
          <c:tx>
            <c:strRef>
              <c:f>'PS4.03_Ind04'!$B$30</c:f>
              <c:strCache>
                <c:ptCount val="1"/>
                <c:pt idx="0">
                  <c:v>Química Industrial i Introducció a la Recerca Química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'PS4.03_Ind04'!$D$12:$I$12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'PS4.03_Ind04'!$D$30:$H$30</c:f>
              <c:numCache>
                <c:formatCode>General</c:formatCode>
                <c:ptCount val="5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2.67</c:v>
                </c:pt>
                <c:pt idx="4">
                  <c:v>3.77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950-4A87-946E-73EE68DFD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77570320"/>
        <c:axId val="884893568"/>
      </c:barChart>
      <c:lineChart>
        <c:grouping val="standard"/>
        <c:varyColors val="0"/>
        <c:ser>
          <c:idx val="19"/>
          <c:order val="19"/>
          <c:tx>
            <c:strRef>
              <c:f>'PS4.03_Ind04'!$B$33</c:f>
              <c:strCache>
                <c:ptCount val="1"/>
                <c:pt idx="0">
                  <c:v>Valor objectiu</c:v>
                </c:pt>
              </c:strCache>
            </c:strRef>
          </c:tx>
          <c:spPr>
            <a:ln w="34925" cap="rnd">
              <a:solidFill>
                <a:schemeClr val="accent2">
                  <a:lumMod val="8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>
                    <a:lumMod val="8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'PS4.03_Ind04'!$D$12:$H$12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'PS4.03_Ind04'!$D$33:$H$33</c:f>
              <c:numCache>
                <c:formatCode>0.00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950-4A87-946E-73EE68DFD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7570320"/>
        <c:axId val="884893568"/>
      </c:lineChart>
      <c:catAx>
        <c:axId val="127757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84893568"/>
        <c:crosses val="autoZero"/>
        <c:auto val="1"/>
        <c:lblAlgn val="ctr"/>
        <c:lblOffset val="100"/>
        <c:noMultiLvlLbl val="0"/>
      </c:catAx>
      <c:valAx>
        <c:axId val="88489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77570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974758372419046E-2"/>
          <c:y val="0.61045598533306011"/>
          <c:w val="0.95507551014501768"/>
          <c:h val="0.370359367218825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a-ES" sz="1200" b="1">
                <a:effectLst/>
              </a:rPr>
              <a:t>Percentatge d’hores de docència impartides pel PDI permanent.</a:t>
            </a:r>
            <a:endParaRPr lang="ca-E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'PS4.03_Ind05'!$B$13</c:f>
              <c:strCache>
                <c:ptCount val="1"/>
                <c:pt idx="0">
                  <c:v>Número d'accions polítiques que s'han fet amb les coordinacions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'PS4.03_Ind05'!$H$12</c:f>
              <c:strCache>
                <c:ptCount val="1"/>
                <c:pt idx="0">
                  <c:v>2022/2023</c:v>
                </c:pt>
              </c:strCache>
            </c:strRef>
          </c:cat>
          <c:val>
            <c:numRef>
              <c:f>'PS4.03_Ind05'!$H$13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9D-4709-B4B6-2C5A89302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77754480"/>
        <c:axId val="1765698976"/>
        <c:extLst/>
      </c:barChart>
      <c:lineChart>
        <c:grouping val="standard"/>
        <c:varyColors val="0"/>
        <c:ser>
          <c:idx val="17"/>
          <c:order val="1"/>
          <c:tx>
            <c:strRef>
              <c:f>'PS4.03_Ind05'!$B$14</c:f>
              <c:strCache>
                <c:ptCount val="1"/>
                <c:pt idx="0">
                  <c:v>Valor objectiu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6">
                    <a:lumMod val="80000"/>
                    <a:lumOff val="2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'PS4.03_Ind05'!$D$12:$G$12</c:f>
              <c:strCache>
                <c:ptCount val="4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</c:strCache>
            </c:strRef>
          </c:cat>
          <c:val>
            <c:numRef>
              <c:f>'PS4.03_Ind05'!$D$14:$H$14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69D-4709-B4B6-2C5A89302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7754480"/>
        <c:axId val="1765698976"/>
      </c:lineChart>
      <c:catAx>
        <c:axId val="137775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765698976"/>
        <c:crosses val="autoZero"/>
        <c:auto val="1"/>
        <c:lblAlgn val="ctr"/>
        <c:lblOffset val="100"/>
        <c:noMultiLvlLbl val="0"/>
      </c:catAx>
      <c:valAx>
        <c:axId val="176569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77754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a-ES" sz="1200" b="1">
                <a:effectLst/>
              </a:rPr>
              <a:t>Percentatge d’hores de docència impartides pel PDI permanent.</a:t>
            </a:r>
            <a:endParaRPr lang="ca-E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'PS4.03_Ind06'!$B$13</c:f>
              <c:strCache>
                <c:ptCount val="1"/>
                <c:pt idx="0">
                  <c:v>Número de reunions fetes entre el Deganat i totes les direccions de Departament de la Facultat  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'PS4.03_Ind06'!$H$12</c:f>
              <c:strCache>
                <c:ptCount val="1"/>
                <c:pt idx="0">
                  <c:v>2022/2023</c:v>
                </c:pt>
              </c:strCache>
            </c:strRef>
          </c:cat>
          <c:val>
            <c:numRef>
              <c:f>'PS4.03_Ind06'!$H$13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0E-4C3F-B4D3-B62766181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77754480"/>
        <c:axId val="1765698976"/>
        <c:extLst/>
      </c:barChart>
      <c:lineChart>
        <c:grouping val="standard"/>
        <c:varyColors val="0"/>
        <c:ser>
          <c:idx val="17"/>
          <c:order val="1"/>
          <c:tx>
            <c:strRef>
              <c:f>'PS4.03_Ind06'!$B$14</c:f>
              <c:strCache>
                <c:ptCount val="1"/>
                <c:pt idx="0">
                  <c:v>Valor objectiu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6">
                    <a:lumMod val="80000"/>
                    <a:lumOff val="2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'PS4.03_Ind06'!$D$12:$G$12</c:f>
              <c:strCache>
                <c:ptCount val="4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</c:strCache>
            </c:strRef>
          </c:cat>
          <c:val>
            <c:numRef>
              <c:f>'PS4.03_Ind06'!$D$14:$G$14</c:f>
              <c:numCache>
                <c:formatCode>0.00</c:formatCode>
                <c:ptCount val="4"/>
                <c:pt idx="0">
                  <c:v>24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0E-4C3F-B4D3-B62766181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7754480"/>
        <c:axId val="1765698976"/>
      </c:lineChart>
      <c:catAx>
        <c:axId val="137775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765698976"/>
        <c:crosses val="autoZero"/>
        <c:auto val="1"/>
        <c:lblAlgn val="ctr"/>
        <c:lblOffset val="100"/>
        <c:noMultiLvlLbl val="0"/>
      </c:catAx>
      <c:valAx>
        <c:axId val="176569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77754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a-ES" sz="1100" b="1">
                <a:effectLst/>
              </a:rPr>
              <a:t>Import de la Despesa econòmica de la Facultat destinada a l’adquisició, renovació d’equipament dels laboratoris i altres necessitats docents</a:t>
            </a:r>
            <a:r>
              <a:rPr lang="ca-ES" sz="1800" b="1">
                <a:effectLst/>
              </a:rPr>
              <a:t>. </a:t>
            </a:r>
            <a:endParaRPr lang="ca-ES" sz="18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'PS4.04_Ind01'!$B$14</c:f>
              <c:strCache>
                <c:ptCount val="1"/>
                <c:pt idx="0">
                  <c:v>Percentatge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'PS4.04_Ind01'!$C$11:$G$11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'PS4.04_Ind01'!$C$14:$G$14</c:f>
              <c:numCache>
                <c:formatCode>0%</c:formatCode>
                <c:ptCount val="5"/>
                <c:pt idx="0">
                  <c:v>0.18</c:v>
                </c:pt>
                <c:pt idx="1">
                  <c:v>0.37</c:v>
                </c:pt>
                <c:pt idx="2" formatCode="0.00%">
                  <c:v>0.19500000000000001</c:v>
                </c:pt>
                <c:pt idx="3">
                  <c:v>0.19</c:v>
                </c:pt>
                <c:pt idx="4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F-4537-B48F-ED1273455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70394896"/>
        <c:axId val="884893088"/>
      </c:barChart>
      <c:lineChart>
        <c:grouping val="standard"/>
        <c:varyColors val="0"/>
        <c:ser>
          <c:idx val="1"/>
          <c:order val="1"/>
          <c:tx>
            <c:strRef>
              <c:f>'PS4.04_Ind01'!$B$15</c:f>
              <c:strCache>
                <c:ptCount val="1"/>
                <c:pt idx="0">
                  <c:v>valor objectiu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numRef>
              <c:f>'PS4.04_Ind01'!$C$11:$F$11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'PS4.04_Ind01'!$C$15:$G$15</c:f>
              <c:numCache>
                <c:formatCode>0%</c:formatCode>
                <c:ptCount val="5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BF-4537-B48F-ED1273455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0394896"/>
        <c:axId val="884893088"/>
      </c:lineChart>
      <c:catAx>
        <c:axId val="167039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84893088"/>
        <c:crosses val="autoZero"/>
        <c:auto val="1"/>
        <c:lblAlgn val="ctr"/>
        <c:lblOffset val="100"/>
        <c:noMultiLvlLbl val="0"/>
      </c:catAx>
      <c:valAx>
        <c:axId val="88489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670394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a-ES" sz="1100" b="1">
                <a:effectLst/>
              </a:rPr>
              <a:t>Import de la Despesa econòmica de la Facultat destinada a l’adquisició, renovació d’equipament dels laboratoris i altres necessitats docents</a:t>
            </a:r>
            <a:r>
              <a:rPr lang="ca-ES" sz="1800" b="1">
                <a:effectLst/>
              </a:rPr>
              <a:t>. </a:t>
            </a:r>
            <a:endParaRPr lang="ca-ES" sz="18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'PS4.04_Ind02'!$B$12</c:f>
              <c:strCache>
                <c:ptCount val="1"/>
                <c:pt idx="0">
                  <c:v>Despesa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'PS4.04_Ind02'!$C$11:$G$11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'PS4.04_Ind02'!$C$13:$G$13</c:f>
              <c:numCache>
                <c:formatCode>0.00%</c:formatCode>
                <c:ptCount val="5"/>
                <c:pt idx="0" formatCode="0%">
                  <c:v>1</c:v>
                </c:pt>
                <c:pt idx="1">
                  <c:v>0.95550000000000002</c:v>
                </c:pt>
                <c:pt idx="2" formatCode="0%">
                  <c:v>1</c:v>
                </c:pt>
                <c:pt idx="3" formatCode="0%">
                  <c:v>1</c:v>
                </c:pt>
                <c:pt idx="4" formatCode="0%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B-416A-929A-C57611568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0394896"/>
        <c:axId val="884893088"/>
      </c:barChart>
      <c:lineChart>
        <c:grouping val="standard"/>
        <c:varyColors val="0"/>
        <c:ser>
          <c:idx val="3"/>
          <c:order val="1"/>
          <c:tx>
            <c:strRef>
              <c:f>'PS4.04_Ind02'!$B$14</c:f>
              <c:strCache>
                <c:ptCount val="1"/>
                <c:pt idx="0">
                  <c:v>objectiu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val>
            <c:numRef>
              <c:f>'PS4.04_Ind02'!$C$14:$G$14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FB-416A-929A-C57611568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0394896"/>
        <c:axId val="884893088"/>
      </c:lineChart>
      <c:catAx>
        <c:axId val="167039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84893088"/>
        <c:crosses val="autoZero"/>
        <c:auto val="1"/>
        <c:lblAlgn val="ctr"/>
        <c:lblOffset val="100"/>
        <c:noMultiLvlLbl val="0"/>
      </c:catAx>
      <c:valAx>
        <c:axId val="88489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670394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a-ES" sz="1000"/>
              <a:t>Valoració mitjana de la pregunta “Les instal·lacions (aules i espais docents) han estat adequades per afavorir el meu aprenentatge</a:t>
            </a:r>
            <a:r>
              <a:rPr lang="ca-ES"/>
              <a:t>”</a:t>
            </a:r>
          </a:p>
          <a:p>
            <a:pPr>
              <a:defRPr/>
            </a:pPr>
            <a:r>
              <a:rPr lang="ca-ES"/>
              <a:t>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'PS4.04_Ind03.'!$B$12</c:f>
              <c:strCache>
                <c:ptCount val="1"/>
                <c:pt idx="0">
                  <c:v>Ciències Ambientals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'PS4.04_Ind03.'!$D$11:$H$11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'PS4.04_Ind03.'!$D$12:$H$12</c:f>
              <c:numCache>
                <c:formatCode>General</c:formatCode>
                <c:ptCount val="5"/>
                <c:pt idx="0">
                  <c:v>3.82</c:v>
                </c:pt>
                <c:pt idx="1">
                  <c:v>0</c:v>
                </c:pt>
                <c:pt idx="2">
                  <c:v>4.38</c:v>
                </c:pt>
                <c:pt idx="3">
                  <c:v>3.8</c:v>
                </c:pt>
                <c:pt idx="4">
                  <c:v>3.53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1F-4C14-AC3C-709285C8F4E9}"/>
            </c:ext>
          </c:extLst>
        </c:ser>
        <c:ser>
          <c:idx val="2"/>
          <c:order val="2"/>
          <c:tx>
            <c:strRef>
              <c:f>'PS4.04_Ind03.'!$B$13</c:f>
              <c:strCache>
                <c:ptCount val="1"/>
                <c:pt idx="0">
                  <c:v>Ciències Ambientals i Grau en Geologia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'PS4.04_Ind03.'!$D$11:$H$11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'PS4.04_Ind03.'!$D$13:$H$13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2.8</c:v>
                </c:pt>
                <c:pt idx="3">
                  <c:v>2</c:v>
                </c:pt>
                <c:pt idx="4">
                  <c:v>3.43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1F-4C14-AC3C-709285C8F4E9}"/>
            </c:ext>
          </c:extLst>
        </c:ser>
        <c:ser>
          <c:idx val="3"/>
          <c:order val="3"/>
          <c:tx>
            <c:strRef>
              <c:f>'PS4.04_Ind03.'!$B$14</c:f>
              <c:strCache>
                <c:ptCount val="1"/>
                <c:pt idx="0">
                  <c:v>Estadística Aplicada  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'PS4.04_Ind03.'!$D$11:$H$11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'PS4.04_Ind03.'!$D$14:$H$14</c:f>
              <c:numCache>
                <c:formatCode>General</c:formatCode>
                <c:ptCount val="5"/>
                <c:pt idx="0">
                  <c:v>0</c:v>
                </c:pt>
                <c:pt idx="1">
                  <c:v>3.2</c:v>
                </c:pt>
                <c:pt idx="2">
                  <c:v>4.67</c:v>
                </c:pt>
                <c:pt idx="3">
                  <c:v>2.5</c:v>
                </c:pt>
                <c:pt idx="4">
                  <c:v>4.17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1F-4C14-AC3C-709285C8F4E9}"/>
            </c:ext>
          </c:extLst>
        </c:ser>
        <c:ser>
          <c:idx val="4"/>
          <c:order val="4"/>
          <c:tx>
            <c:strRef>
              <c:f>'PS4.04_Ind03.'!$B$15</c:f>
              <c:strCache>
                <c:ptCount val="1"/>
                <c:pt idx="0">
                  <c:v>Física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'PS4.04_Ind03.'!$D$11:$H$11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'PS4.04_Ind03.'!$D$15:$H$15</c:f>
              <c:numCache>
                <c:formatCode>General</c:formatCode>
                <c:ptCount val="5"/>
                <c:pt idx="0">
                  <c:v>3.44</c:v>
                </c:pt>
                <c:pt idx="1">
                  <c:v>3</c:v>
                </c:pt>
                <c:pt idx="2">
                  <c:v>3.77</c:v>
                </c:pt>
                <c:pt idx="3">
                  <c:v>3.5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1F-4C14-AC3C-709285C8F4E9}"/>
            </c:ext>
          </c:extLst>
        </c:ser>
        <c:ser>
          <c:idx val="5"/>
          <c:order val="5"/>
          <c:tx>
            <c:strRef>
              <c:f>'PS4.04_Ind03.'!$B$16</c:f>
              <c:strCache>
                <c:ptCount val="1"/>
                <c:pt idx="0">
                  <c:v>Física i Matemàtiques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'PS4.04_Ind03.'!$D$11:$H$11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'PS4.04_Ind03.'!$D$16:$H$16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3.89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1F-4C14-AC3C-709285C8F4E9}"/>
            </c:ext>
          </c:extLst>
        </c:ser>
        <c:ser>
          <c:idx val="6"/>
          <c:order val="6"/>
          <c:tx>
            <c:strRef>
              <c:f>'PS4.04_Ind03.'!$B$17</c:f>
              <c:strCache>
                <c:ptCount val="1"/>
                <c:pt idx="0">
                  <c:v>Física i Química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'PS4.04_Ind03.'!$D$11:$H$11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'PS4.04_Ind03.'!$D$17:$H$17</c:f>
              <c:numCache>
                <c:formatCode>General</c:formatCode>
                <c:ptCount val="5"/>
                <c:pt idx="0">
                  <c:v>3.25</c:v>
                </c:pt>
                <c:pt idx="1">
                  <c:v>3.57</c:v>
                </c:pt>
                <c:pt idx="2">
                  <c:v>0</c:v>
                </c:pt>
                <c:pt idx="3">
                  <c:v>3.75</c:v>
                </c:pt>
                <c:pt idx="4">
                  <c:v>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1F-4C14-AC3C-709285C8F4E9}"/>
            </c:ext>
          </c:extLst>
        </c:ser>
        <c:ser>
          <c:idx val="7"/>
          <c:order val="7"/>
          <c:tx>
            <c:strRef>
              <c:f>'PS4.04_Ind03.'!$B$18</c:f>
              <c:strCache>
                <c:ptCount val="1"/>
                <c:pt idx="0">
                  <c:v>Geologia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'PS4.04_Ind03.'!$D$11:$H$11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'PS4.04_Ind03.'!$D$18:$H$18</c:f>
              <c:numCache>
                <c:formatCode>General</c:formatCode>
                <c:ptCount val="5"/>
                <c:pt idx="0">
                  <c:v>3.4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C1F-4C14-AC3C-709285C8F4E9}"/>
            </c:ext>
          </c:extLst>
        </c:ser>
        <c:ser>
          <c:idx val="8"/>
          <c:order val="8"/>
          <c:tx>
            <c:strRef>
              <c:f>'PS4.04_Ind03.'!$B$19</c:f>
              <c:strCache>
                <c:ptCount val="1"/>
                <c:pt idx="0">
                  <c:v>Matemàtica Computacional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'PS4.04_Ind03.'!$D$11:$H$11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'PS4.04_Ind03.'!$D$19:$H$19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1F-4C14-AC3C-709285C8F4E9}"/>
            </c:ext>
          </c:extLst>
        </c:ser>
        <c:ser>
          <c:idx val="9"/>
          <c:order val="9"/>
          <c:tx>
            <c:strRef>
              <c:f>'PS4.04_Ind03.'!$B$20</c:f>
              <c:strCache>
                <c:ptCount val="1"/>
                <c:pt idx="0">
                  <c:v>Matemàtiques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'PS4.04_Ind03.'!$D$11:$H$11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'PS4.04_Ind03.'!$D$20:$H$20</c:f>
              <c:numCache>
                <c:formatCode>General</c:formatCode>
                <c:ptCount val="5"/>
                <c:pt idx="0">
                  <c:v>3.4</c:v>
                </c:pt>
                <c:pt idx="1">
                  <c:v>3.79</c:v>
                </c:pt>
                <c:pt idx="2">
                  <c:v>3.27</c:v>
                </c:pt>
                <c:pt idx="3">
                  <c:v>2.4</c:v>
                </c:pt>
                <c:pt idx="4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C1F-4C14-AC3C-709285C8F4E9}"/>
            </c:ext>
          </c:extLst>
        </c:ser>
        <c:ser>
          <c:idx val="10"/>
          <c:order val="10"/>
          <c:tx>
            <c:strRef>
              <c:f>'PS4.04_Ind03.'!$B$22</c:f>
              <c:strCache>
                <c:ptCount val="1"/>
                <c:pt idx="0">
                  <c:v>Química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'PS4.04_Ind03.'!$D$11:$H$11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'PS4.04_Ind03.'!$D$22:$H$22</c:f>
              <c:numCache>
                <c:formatCode>General</c:formatCode>
                <c:ptCount val="5"/>
                <c:pt idx="0">
                  <c:v>3.48</c:v>
                </c:pt>
                <c:pt idx="1">
                  <c:v>3.37</c:v>
                </c:pt>
                <c:pt idx="2">
                  <c:v>3.58</c:v>
                </c:pt>
                <c:pt idx="3">
                  <c:v>4.25</c:v>
                </c:pt>
                <c:pt idx="4">
                  <c:v>3.89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C1F-4C14-AC3C-709285C8F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71572016"/>
        <c:axId val="16677549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'PS4.04_Ind03.'!$D$11:$H$11</c15:sqref>
                        </c15:formulaRef>
                      </c:ext>
                    </c:extLst>
                    <c:strCache>
                      <c:ptCount val="5"/>
                      <c:pt idx="0">
                        <c:v>2017/2018</c:v>
                      </c:pt>
                      <c:pt idx="1">
                        <c:v>2018/2019</c:v>
                      </c:pt>
                      <c:pt idx="2">
                        <c:v>2019/2020</c:v>
                      </c:pt>
                      <c:pt idx="3">
                        <c:v>2020/2021</c:v>
                      </c:pt>
                      <c:pt idx="4">
                        <c:v>2021/2022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'PS4.04_Ind03.'!$G$26:$H$26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0.66666666666666663</c:v>
                      </c:pt>
                      <c:pt idx="1">
                        <c:v>0.81818181818181823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C1F-4C14-AC3C-709285C8F4E9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1"/>
          <c:order val="11"/>
          <c:tx>
            <c:strRef>
              <c:f>'PS4.04_Ind03.'!$B$25</c:f>
              <c:strCache>
                <c:ptCount val="1"/>
                <c:pt idx="0">
                  <c:v>Valor objectiu</c:v>
                </c:pt>
              </c:strCache>
            </c:strRef>
          </c:tx>
          <c:spPr>
            <a:ln w="34925" cap="rnd">
              <a:solidFill>
                <a:schemeClr val="accent6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6">
                    <a:lumMod val="6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'PS4.04_Ind03.'!$D$11:$H$11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'PS4.04_Ind03.'!$D$25:$H$25</c:f>
              <c:numCache>
                <c:formatCode>0.00</c:formatCode>
                <c:ptCount val="5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C1F-4C14-AC3C-709285C8F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1572016"/>
        <c:axId val="1667754976"/>
      </c:lineChart>
      <c:catAx>
        <c:axId val="127157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667754976"/>
        <c:crosses val="autoZero"/>
        <c:auto val="1"/>
        <c:lblAlgn val="ctr"/>
        <c:lblOffset val="100"/>
        <c:noMultiLvlLbl val="0"/>
      </c:catAx>
      <c:valAx>
        <c:axId val="166775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71572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a-ES" sz="1200" b="1">
                <a:effectLst/>
              </a:rPr>
              <a:t>PS4.05_Ind01. Els recursos facilitats pels serveis de biblioteca i de suport a la docència han respost a les meves necessitats (Enquesta sobre el grau de satisfacció dels egressats i de les egressades de la UAB)</a:t>
            </a:r>
            <a:endParaRPr lang="ca-E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'PS4.05_Ind01'!$B$28</c:f>
              <c:strCache>
                <c:ptCount val="1"/>
                <c:pt idx="0">
                  <c:v>9. Gràfic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'PS4.05_Ind01'!$D$11:$H$11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'PS4.05_Ind01'!$C$28:$E$28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1C67-473F-B6A4-D52B398BC12A}"/>
            </c:ext>
          </c:extLst>
        </c:ser>
        <c:ser>
          <c:idx val="1"/>
          <c:order val="1"/>
          <c:tx>
            <c:strRef>
              <c:f>'PS4.05_Ind01'!$C$11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'PS4.05_Ind01'!$D$11:$H$11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'PS4.05_Ind01'!$D$11:$H$11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67-473F-B6A4-D52B398BC12A}"/>
            </c:ext>
          </c:extLst>
        </c:ser>
        <c:ser>
          <c:idx val="2"/>
          <c:order val="2"/>
          <c:tx>
            <c:strRef>
              <c:f>'PS4.05_Ind01'!$B$12</c:f>
              <c:strCache>
                <c:ptCount val="1"/>
                <c:pt idx="0">
                  <c:v>Ciències Ambientals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'PS4.05_Ind01'!$D$11:$H$11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'PS4.05_Ind01'!$D$12:$H$12</c:f>
              <c:numCache>
                <c:formatCode>General</c:formatCode>
                <c:ptCount val="5"/>
                <c:pt idx="0">
                  <c:v>4.2699999999999996</c:v>
                </c:pt>
                <c:pt idx="1">
                  <c:v>0</c:v>
                </c:pt>
                <c:pt idx="2">
                  <c:v>4.25</c:v>
                </c:pt>
                <c:pt idx="3">
                  <c:v>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67-473F-B6A4-D52B398BC12A}"/>
            </c:ext>
          </c:extLst>
        </c:ser>
        <c:ser>
          <c:idx val="3"/>
          <c:order val="3"/>
          <c:tx>
            <c:strRef>
              <c:f>'PS4.05_Ind01'!$B$13</c:f>
              <c:strCache>
                <c:ptCount val="1"/>
                <c:pt idx="0">
                  <c:v>Ciències Ambientals i Grau en Geologia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'PS4.05_Ind01'!$D$11:$H$11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'PS4.05_Ind01'!$D$13:$H$13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3.8</c:v>
                </c:pt>
                <c:pt idx="3">
                  <c:v>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67-473F-B6A4-D52B398BC12A}"/>
            </c:ext>
          </c:extLst>
        </c:ser>
        <c:ser>
          <c:idx val="4"/>
          <c:order val="4"/>
          <c:tx>
            <c:strRef>
              <c:f>'PS4.05_Ind01'!$B$14</c:f>
              <c:strCache>
                <c:ptCount val="1"/>
                <c:pt idx="0">
                  <c:v>Estadística Aplicada  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'PS4.05_Ind01'!$D$11:$H$11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'PS4.05_Ind01'!$D$14:$H$14</c:f>
              <c:numCache>
                <c:formatCode>General</c:formatCode>
                <c:ptCount val="5"/>
                <c:pt idx="0">
                  <c:v>0</c:v>
                </c:pt>
                <c:pt idx="1">
                  <c:v>2.8</c:v>
                </c:pt>
                <c:pt idx="2">
                  <c:v>4.17</c:v>
                </c:pt>
                <c:pt idx="3">
                  <c:v>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67-473F-B6A4-D52B398BC12A}"/>
            </c:ext>
          </c:extLst>
        </c:ser>
        <c:ser>
          <c:idx val="5"/>
          <c:order val="5"/>
          <c:tx>
            <c:strRef>
              <c:f>'PS4.05_Ind01'!$B$15</c:f>
              <c:strCache>
                <c:ptCount val="1"/>
                <c:pt idx="0">
                  <c:v>Física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'PS4.05_Ind01'!$D$11:$H$11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'PS4.05_Ind01'!$D$15:$H$15</c:f>
              <c:numCache>
                <c:formatCode>General</c:formatCode>
                <c:ptCount val="5"/>
                <c:pt idx="0">
                  <c:v>4.1100000000000003</c:v>
                </c:pt>
                <c:pt idx="1">
                  <c:v>3.81</c:v>
                </c:pt>
                <c:pt idx="2">
                  <c:v>4.38</c:v>
                </c:pt>
                <c:pt idx="3">
                  <c:v>3.5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67-473F-B6A4-D52B398BC12A}"/>
            </c:ext>
          </c:extLst>
        </c:ser>
        <c:ser>
          <c:idx val="6"/>
          <c:order val="6"/>
          <c:tx>
            <c:strRef>
              <c:f>'PS4.05_Ind01'!$B$16</c:f>
              <c:strCache>
                <c:ptCount val="1"/>
                <c:pt idx="0">
                  <c:v>Física i Matemàtiques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'PS4.05_Ind01'!$D$11:$H$11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'PS4.05_Ind01'!$D$16:$H$16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67-473F-B6A4-D52B398BC12A}"/>
            </c:ext>
          </c:extLst>
        </c:ser>
        <c:ser>
          <c:idx val="7"/>
          <c:order val="7"/>
          <c:tx>
            <c:strRef>
              <c:f>'PS4.05_Ind01'!$B$17</c:f>
              <c:strCache>
                <c:ptCount val="1"/>
                <c:pt idx="0">
                  <c:v>Física i Química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'PS4.05_Ind01'!$D$11:$H$11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'PS4.05_Ind01'!$D$17:$H$17</c:f>
              <c:numCache>
                <c:formatCode>General</c:formatCode>
                <c:ptCount val="5"/>
                <c:pt idx="0">
                  <c:v>3.75</c:v>
                </c:pt>
                <c:pt idx="1">
                  <c:v>4.1399999999999997</c:v>
                </c:pt>
                <c:pt idx="2">
                  <c:v>0</c:v>
                </c:pt>
                <c:pt idx="3">
                  <c:v>3.75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C67-473F-B6A4-D52B398BC12A}"/>
            </c:ext>
          </c:extLst>
        </c:ser>
        <c:ser>
          <c:idx val="8"/>
          <c:order val="8"/>
          <c:tx>
            <c:strRef>
              <c:f>'PS4.05_Ind01'!$B$18</c:f>
              <c:strCache>
                <c:ptCount val="1"/>
                <c:pt idx="0">
                  <c:v>Geologia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'PS4.05_Ind01'!$D$11:$H$11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'PS4.05_Ind01'!$D$18:$H$18</c:f>
              <c:numCache>
                <c:formatCode>General</c:formatCode>
                <c:ptCount val="5"/>
                <c:pt idx="0">
                  <c:v>3.4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C67-473F-B6A4-D52B398BC12A}"/>
            </c:ext>
          </c:extLst>
        </c:ser>
        <c:ser>
          <c:idx val="9"/>
          <c:order val="9"/>
          <c:tx>
            <c:strRef>
              <c:f>'PS4.05_Ind01'!$B$19</c:f>
              <c:strCache>
                <c:ptCount val="1"/>
                <c:pt idx="0">
                  <c:v>Matemàtica Computacional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'PS4.05_Ind01'!$D$11:$H$11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'PS4.05_Ind01'!$D$19:$H$19</c:f>
              <c:numCache>
                <c:formatCode>General</c:formatCode>
                <c:ptCount val="5"/>
                <c:pt idx="0">
                  <c:v>4.2</c:v>
                </c:pt>
                <c:pt idx="1">
                  <c:v>4.43</c:v>
                </c:pt>
                <c:pt idx="2">
                  <c:v>3.82</c:v>
                </c:pt>
                <c:pt idx="3">
                  <c:v>2.8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C67-473F-B6A4-D52B398BC12A}"/>
            </c:ext>
          </c:extLst>
        </c:ser>
        <c:ser>
          <c:idx val="10"/>
          <c:order val="10"/>
          <c:tx>
            <c:strRef>
              <c:f>'PS4.05_Ind01'!$B$20</c:f>
              <c:strCache>
                <c:ptCount val="1"/>
                <c:pt idx="0">
                  <c:v>Matemàtiques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'PS4.05_Ind01'!$D$11:$H$11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'PS4.05_Ind01'!$D$20:$H$20</c:f>
              <c:numCache>
                <c:formatCode>General</c:formatCode>
                <c:ptCount val="5"/>
                <c:pt idx="0">
                  <c:v>3.73</c:v>
                </c:pt>
                <c:pt idx="1">
                  <c:v>4.22</c:v>
                </c:pt>
                <c:pt idx="2">
                  <c:v>3.8</c:v>
                </c:pt>
                <c:pt idx="3">
                  <c:v>3.5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C67-473F-B6A4-D52B398BC12A}"/>
            </c:ext>
          </c:extLst>
        </c:ser>
        <c:ser>
          <c:idx val="11"/>
          <c:order val="11"/>
          <c:tx>
            <c:strRef>
              <c:f>'PS4.05_Ind01'!$B$21</c:f>
              <c:strCache>
                <c:ptCount val="1"/>
                <c:pt idx="0">
                  <c:v>Nanociència i Nanotecnologia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'PS4.05_Ind01'!$D$11:$H$11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'PS4.05_Ind01'!$D$21:$H$21</c:f>
              <c:numCache>
                <c:formatCode>General</c:formatCode>
                <c:ptCount val="5"/>
                <c:pt idx="0">
                  <c:v>3.94</c:v>
                </c:pt>
                <c:pt idx="1">
                  <c:v>3.78</c:v>
                </c:pt>
                <c:pt idx="2">
                  <c:v>3.42</c:v>
                </c:pt>
                <c:pt idx="3">
                  <c:v>4.5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C67-473F-B6A4-D52B398BC12A}"/>
            </c:ext>
          </c:extLst>
        </c:ser>
        <c:ser>
          <c:idx val="12"/>
          <c:order val="12"/>
          <c:tx>
            <c:strRef>
              <c:f>'PS4.05_Ind01'!$B$22</c:f>
              <c:strCache>
                <c:ptCount val="1"/>
                <c:pt idx="0">
                  <c:v>Química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'PS4.05_Ind01'!$D$11:$H$11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'PS4.05_Ind01'!$D$22:$H$22</c:f>
              <c:numCache>
                <c:formatCode>General</c:formatCode>
                <c:ptCount val="5"/>
                <c:pt idx="0">
                  <c:v>3.99</c:v>
                </c:pt>
                <c:pt idx="1">
                  <c:v>3.89</c:v>
                </c:pt>
                <c:pt idx="2">
                  <c:v>3.93</c:v>
                </c:pt>
                <c:pt idx="3">
                  <c:v>3.7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C67-473F-B6A4-D52B398BC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63647072"/>
        <c:axId val="1818362512"/>
      </c:barChart>
      <c:lineChart>
        <c:grouping val="standard"/>
        <c:varyColors val="0"/>
        <c:ser>
          <c:idx val="13"/>
          <c:order val="13"/>
          <c:tx>
            <c:strRef>
              <c:f>'PS4.05_Ind01'!$B$25</c:f>
              <c:strCache>
                <c:ptCount val="1"/>
                <c:pt idx="0">
                  <c:v>Valor objectiu</c:v>
                </c:pt>
              </c:strCache>
            </c:strRef>
          </c:tx>
          <c:spPr>
            <a:ln w="3492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>
                    <a:lumMod val="80000"/>
                    <a:lumOff val="2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val>
            <c:numRef>
              <c:f>'PS4.05_Ind01'!$D$25:$H$25</c:f>
              <c:numCache>
                <c:formatCode>0.00</c:formatCode>
                <c:ptCount val="5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C67-473F-B6A4-D52B398BC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647072"/>
        <c:axId val="1818362512"/>
      </c:lineChart>
      <c:catAx>
        <c:axId val="206364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818362512"/>
        <c:crosses val="autoZero"/>
        <c:auto val="1"/>
        <c:lblAlgn val="ctr"/>
        <c:lblOffset val="100"/>
        <c:noMultiLvlLbl val="0"/>
      </c:catAx>
      <c:valAx>
        <c:axId val="181836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06364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'PS4.05_Ind02'!$B$28</c:f>
              <c:strCache>
                <c:ptCount val="1"/>
                <c:pt idx="0">
                  <c:v>9. Gràfic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'PS4.05_Ind02'!$D$11:$H$11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'PS4.05_Ind02'!$C$28:$E$28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91DF-49B0-97A2-43D660C10332}"/>
            </c:ext>
          </c:extLst>
        </c:ser>
        <c:ser>
          <c:idx val="1"/>
          <c:order val="1"/>
          <c:tx>
            <c:strRef>
              <c:f>'PS4.05_Ind02'!$B$12</c:f>
              <c:strCache>
                <c:ptCount val="1"/>
                <c:pt idx="0">
                  <c:v>Ciències Ambientals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'PS4.05_Ind02'!$D$11:$H$11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'PS4.05_Ind02'!$D$12:$H$12</c:f>
              <c:numCache>
                <c:formatCode>General</c:formatCode>
                <c:ptCount val="5"/>
                <c:pt idx="0">
                  <c:v>4.09</c:v>
                </c:pt>
                <c:pt idx="1">
                  <c:v>0</c:v>
                </c:pt>
                <c:pt idx="2">
                  <c:v>4.13</c:v>
                </c:pt>
                <c:pt idx="3">
                  <c:v>3.8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DF-49B0-97A2-43D660C10332}"/>
            </c:ext>
          </c:extLst>
        </c:ser>
        <c:ser>
          <c:idx val="2"/>
          <c:order val="2"/>
          <c:tx>
            <c:strRef>
              <c:f>'PS4.05_Ind02'!$B$13</c:f>
              <c:strCache>
                <c:ptCount val="1"/>
                <c:pt idx="0">
                  <c:v>Ciències Ambientals i Grau en Geologia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'PS4.05_Ind02'!$D$11:$H$11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'PS4.05_Ind02'!$D$13:$H$13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5</c:v>
                </c:pt>
                <c:pt idx="4">
                  <c:v>3.71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DF-49B0-97A2-43D660C10332}"/>
            </c:ext>
          </c:extLst>
        </c:ser>
        <c:ser>
          <c:idx val="3"/>
          <c:order val="3"/>
          <c:tx>
            <c:strRef>
              <c:f>'PS4.05_Ind02'!$B$14</c:f>
              <c:strCache>
                <c:ptCount val="1"/>
                <c:pt idx="0">
                  <c:v>Estadística Aplicada  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'PS4.05_Ind02'!$D$11:$H$11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'PS4.05_Ind02'!$D$14:$H$14</c:f>
              <c:numCache>
                <c:formatCode>General</c:formatCode>
                <c:ptCount val="5"/>
                <c:pt idx="0">
                  <c:v>0</c:v>
                </c:pt>
                <c:pt idx="1">
                  <c:v>4.4000000000000004</c:v>
                </c:pt>
                <c:pt idx="2">
                  <c:v>4.5</c:v>
                </c:pt>
                <c:pt idx="3">
                  <c:v>4</c:v>
                </c:pt>
                <c:pt idx="4">
                  <c:v>4.67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DF-49B0-97A2-43D660C10332}"/>
            </c:ext>
          </c:extLst>
        </c:ser>
        <c:ser>
          <c:idx val="4"/>
          <c:order val="4"/>
          <c:tx>
            <c:strRef>
              <c:f>'PS4.05_Ind02'!$B$15</c:f>
              <c:strCache>
                <c:ptCount val="1"/>
                <c:pt idx="0">
                  <c:v>Física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'PS4.05_Ind02'!$D$11:$H$11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'PS4.05_Ind02'!$D$15:$H$15</c:f>
              <c:numCache>
                <c:formatCode>General</c:formatCode>
                <c:ptCount val="5"/>
                <c:pt idx="0">
                  <c:v>3.56</c:v>
                </c:pt>
                <c:pt idx="1">
                  <c:v>3.9</c:v>
                </c:pt>
                <c:pt idx="2">
                  <c:v>3.92</c:v>
                </c:pt>
                <c:pt idx="3">
                  <c:v>4.17</c:v>
                </c:pt>
                <c:pt idx="4">
                  <c:v>4.05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DF-49B0-97A2-43D660C10332}"/>
            </c:ext>
          </c:extLst>
        </c:ser>
        <c:ser>
          <c:idx val="5"/>
          <c:order val="5"/>
          <c:tx>
            <c:strRef>
              <c:f>'PS4.05_Ind02'!$B$16</c:f>
              <c:strCache>
                <c:ptCount val="1"/>
                <c:pt idx="0">
                  <c:v>Física i Matemàtiques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'PS4.05_Ind02'!$D$11:$H$11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'PS4.05_Ind02'!$D$16:$H$16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DF-49B0-97A2-43D660C10332}"/>
            </c:ext>
          </c:extLst>
        </c:ser>
        <c:ser>
          <c:idx val="6"/>
          <c:order val="6"/>
          <c:tx>
            <c:strRef>
              <c:f>'PS4.05_Ind02'!$B$17</c:f>
              <c:strCache>
                <c:ptCount val="1"/>
                <c:pt idx="0">
                  <c:v>Física i Química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'PS4.05_Ind02'!$D$11:$H$11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'PS4.05_Ind02'!$D$17:$H$17</c:f>
              <c:numCache>
                <c:formatCode>General</c:formatCode>
                <c:ptCount val="5"/>
                <c:pt idx="0">
                  <c:v>3.38</c:v>
                </c:pt>
                <c:pt idx="1">
                  <c:v>3.57</c:v>
                </c:pt>
                <c:pt idx="2">
                  <c:v>0</c:v>
                </c:pt>
                <c:pt idx="3">
                  <c:v>4.5</c:v>
                </c:pt>
                <c:pt idx="4">
                  <c:v>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DF-49B0-97A2-43D660C10332}"/>
            </c:ext>
          </c:extLst>
        </c:ser>
        <c:ser>
          <c:idx val="7"/>
          <c:order val="7"/>
          <c:tx>
            <c:strRef>
              <c:f>'PS4.05_Ind02'!$B$18</c:f>
              <c:strCache>
                <c:ptCount val="1"/>
                <c:pt idx="0">
                  <c:v>Geologia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'PS4.05_Ind02'!$D$11:$H$11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'PS4.05_Ind02'!$D$18:$H$18</c:f>
              <c:numCache>
                <c:formatCode>General</c:formatCode>
                <c:ptCount val="5"/>
                <c:pt idx="0">
                  <c:v>4.2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4.1399999999999997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DF-49B0-97A2-43D660C10332}"/>
            </c:ext>
          </c:extLst>
        </c:ser>
        <c:ser>
          <c:idx val="8"/>
          <c:order val="8"/>
          <c:tx>
            <c:strRef>
              <c:f>'PS4.05_Ind02'!$B$19</c:f>
              <c:strCache>
                <c:ptCount val="1"/>
                <c:pt idx="0">
                  <c:v>Matemàtica Computacional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'PS4.05_Ind02'!$D$11:$H$11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'PS4.05_Ind02'!$D$19:$H$19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DF-49B0-97A2-43D660C10332}"/>
            </c:ext>
          </c:extLst>
        </c:ser>
        <c:ser>
          <c:idx val="9"/>
          <c:order val="9"/>
          <c:tx>
            <c:strRef>
              <c:f>'PS4.05_Ind02'!$B$20</c:f>
              <c:strCache>
                <c:ptCount val="1"/>
                <c:pt idx="0">
                  <c:v>Matemàtiques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'PS4.05_Ind02'!$D$11:$H$11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'PS4.05_Ind02'!$D$20:$H$20</c:f>
              <c:numCache>
                <c:formatCode>General</c:formatCode>
                <c:ptCount val="5"/>
                <c:pt idx="0">
                  <c:v>4</c:v>
                </c:pt>
                <c:pt idx="1">
                  <c:v>3.5</c:v>
                </c:pt>
                <c:pt idx="2">
                  <c:v>3.45</c:v>
                </c:pt>
                <c:pt idx="3">
                  <c:v>3.2</c:v>
                </c:pt>
                <c:pt idx="4">
                  <c:v>4.37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1DF-49B0-97A2-43D660C10332}"/>
            </c:ext>
          </c:extLst>
        </c:ser>
        <c:ser>
          <c:idx val="10"/>
          <c:order val="10"/>
          <c:tx>
            <c:strRef>
              <c:f>'PS4.05_Ind02'!$B$21</c:f>
              <c:strCache>
                <c:ptCount val="1"/>
                <c:pt idx="0">
                  <c:v>Nanociència i Nanotecnologia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'PS4.05_Ind02'!$D$11:$H$11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'PS4.05_Ind02'!$D$21:$H$21</c:f>
              <c:numCache>
                <c:formatCode>General</c:formatCode>
                <c:ptCount val="5"/>
                <c:pt idx="0">
                  <c:v>3.81</c:v>
                </c:pt>
                <c:pt idx="1">
                  <c:v>4.1500000000000004</c:v>
                </c:pt>
                <c:pt idx="2">
                  <c:v>3.25</c:v>
                </c:pt>
                <c:pt idx="3">
                  <c:v>4.5</c:v>
                </c:pt>
                <c:pt idx="4">
                  <c:v>4.2699999999999996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DF-49B0-97A2-43D660C10332}"/>
            </c:ext>
          </c:extLst>
        </c:ser>
        <c:ser>
          <c:idx val="12"/>
          <c:order val="11"/>
          <c:tx>
            <c:strRef>
              <c:f>'PS4.05_Ind02'!$B$22</c:f>
              <c:strCache>
                <c:ptCount val="1"/>
                <c:pt idx="0">
                  <c:v>Química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'PS4.05_Ind02'!$D$11:$H$11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'PS4.05_Ind02'!$D$22:$H$22</c:f>
              <c:numCache>
                <c:formatCode>General</c:formatCode>
                <c:ptCount val="5"/>
                <c:pt idx="0">
                  <c:v>3.79</c:v>
                </c:pt>
                <c:pt idx="1">
                  <c:v>3.96</c:v>
                </c:pt>
                <c:pt idx="2">
                  <c:v>3.88</c:v>
                </c:pt>
                <c:pt idx="3">
                  <c:v>4.5</c:v>
                </c:pt>
                <c:pt idx="4">
                  <c:v>4.1500000000000004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1DF-49B0-97A2-43D660C10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63497664"/>
        <c:axId val="1981903920"/>
      </c:barChart>
      <c:lineChart>
        <c:grouping val="standard"/>
        <c:varyColors val="0"/>
        <c:ser>
          <c:idx val="11"/>
          <c:order val="12"/>
          <c:tx>
            <c:strRef>
              <c:f>'PS4.05_Ind02'!$B$25</c:f>
              <c:strCache>
                <c:ptCount val="1"/>
                <c:pt idx="0">
                  <c:v>Valor objectiu</c:v>
                </c:pt>
              </c:strCache>
            </c:strRef>
          </c:tx>
          <c:spPr>
            <a:ln w="34925" cap="rnd">
              <a:solidFill>
                <a:schemeClr val="accent6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6">
                    <a:lumMod val="6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'PS4.05_Ind02'!$D$11:$H$11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'PS4.05_Ind02'!$D$25:$H$25</c:f>
              <c:numCache>
                <c:formatCode>0.00</c:formatCode>
                <c:ptCount val="5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1DF-49B0-97A2-43D660C10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497664"/>
        <c:axId val="1981903920"/>
      </c:lineChart>
      <c:catAx>
        <c:axId val="206349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981903920"/>
        <c:crosses val="autoZero"/>
        <c:auto val="1"/>
        <c:lblAlgn val="ctr"/>
        <c:lblOffset val="100"/>
        <c:noMultiLvlLbl val="0"/>
      </c:catAx>
      <c:valAx>
        <c:axId val="198190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06349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a-ES"/>
              <a:t> PS5.03_iND01 TAXA D'OCUPACIÓ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'PS5.03_Ind01'!$B$13</c:f>
              <c:strCache>
                <c:ptCount val="1"/>
                <c:pt idx="0">
                  <c:v>Ciències Ambientals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'PS5.03_Ind01'!$D$12:$G$12</c:f>
              <c:numCache>
                <c:formatCode>General</c:formatCode>
                <c:ptCount val="4"/>
                <c:pt idx="0">
                  <c:v>2014</c:v>
                </c:pt>
                <c:pt idx="1">
                  <c:v>2017</c:v>
                </c:pt>
                <c:pt idx="2">
                  <c:v>2020</c:v>
                </c:pt>
                <c:pt idx="3">
                  <c:v>2023</c:v>
                </c:pt>
              </c:numCache>
            </c:numRef>
          </c:cat>
          <c:val>
            <c:numRef>
              <c:f>'PS5.03_Ind01'!$D$13:$G$13</c:f>
              <c:numCache>
                <c:formatCode>0.00%</c:formatCode>
                <c:ptCount val="4"/>
                <c:pt idx="0" formatCode="0%">
                  <c:v>0.7</c:v>
                </c:pt>
                <c:pt idx="1">
                  <c:v>0.84199999999999997</c:v>
                </c:pt>
                <c:pt idx="2" formatCode="0%">
                  <c:v>0.77</c:v>
                </c:pt>
                <c:pt idx="3">
                  <c:v>0.85699999999999998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9DE5-4695-9C8E-942A63CE7D64}"/>
            </c:ext>
          </c:extLst>
        </c:ser>
        <c:ser>
          <c:idx val="2"/>
          <c:order val="2"/>
          <c:tx>
            <c:strRef>
              <c:f>'PS5.03_Ind01'!$B$14</c:f>
              <c:strCache>
                <c:ptCount val="1"/>
                <c:pt idx="0">
                  <c:v>Estadística Aplicada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'PS5.03_Ind01'!$D$12:$G$12</c:f>
              <c:numCache>
                <c:formatCode>General</c:formatCode>
                <c:ptCount val="4"/>
                <c:pt idx="0">
                  <c:v>2014</c:v>
                </c:pt>
                <c:pt idx="1">
                  <c:v>2017</c:v>
                </c:pt>
                <c:pt idx="2">
                  <c:v>2020</c:v>
                </c:pt>
                <c:pt idx="3">
                  <c:v>2023</c:v>
                </c:pt>
              </c:numCache>
            </c:numRef>
          </c:cat>
          <c:val>
            <c:numRef>
              <c:f>'PS5.03_Ind01'!$D$14:$G$14</c:f>
              <c:numCache>
                <c:formatCode>0.00%</c:formatCode>
                <c:ptCount val="4"/>
                <c:pt idx="0" formatCode="0%">
                  <c:v>0.87</c:v>
                </c:pt>
                <c:pt idx="1">
                  <c:v>0.95699999999999996</c:v>
                </c:pt>
                <c:pt idx="2">
                  <c:v>0.90300000000000002</c:v>
                </c:pt>
                <c:pt idx="3">
                  <c:v>0.92600000000000005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9DE5-4695-9C8E-942A63CE7D64}"/>
            </c:ext>
          </c:extLst>
        </c:ser>
        <c:ser>
          <c:idx val="3"/>
          <c:order val="3"/>
          <c:tx>
            <c:strRef>
              <c:f>'PS5.03_Ind01'!$B$15</c:f>
              <c:strCache>
                <c:ptCount val="1"/>
                <c:pt idx="0">
                  <c:v>Física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'PS5.03_Ind01'!$D$12:$G$12</c:f>
              <c:numCache>
                <c:formatCode>General</c:formatCode>
                <c:ptCount val="4"/>
                <c:pt idx="0">
                  <c:v>2014</c:v>
                </c:pt>
                <c:pt idx="1">
                  <c:v>2017</c:v>
                </c:pt>
                <c:pt idx="2">
                  <c:v>2020</c:v>
                </c:pt>
                <c:pt idx="3">
                  <c:v>2023</c:v>
                </c:pt>
              </c:numCache>
            </c:numRef>
          </c:cat>
          <c:val>
            <c:numRef>
              <c:f>'PS5.03_Ind01'!$D$15:$G$15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 formatCode="0%">
                  <c:v>0.87</c:v>
                </c:pt>
                <c:pt idx="3" formatCode="0.00%">
                  <c:v>0.91100000000000003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B-9DE5-4695-9C8E-942A63CE7D64}"/>
            </c:ext>
          </c:extLst>
        </c:ser>
        <c:ser>
          <c:idx val="4"/>
          <c:order val="4"/>
          <c:tx>
            <c:strRef>
              <c:f>'PS5.03_Ind01'!$B$16</c:f>
              <c:strCache>
                <c:ptCount val="1"/>
                <c:pt idx="0">
                  <c:v>Geologia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'PS5.03_Ind01'!$D$12:$G$12</c:f>
              <c:numCache>
                <c:formatCode>General</c:formatCode>
                <c:ptCount val="4"/>
                <c:pt idx="0">
                  <c:v>2014</c:v>
                </c:pt>
                <c:pt idx="1">
                  <c:v>2017</c:v>
                </c:pt>
                <c:pt idx="2">
                  <c:v>2020</c:v>
                </c:pt>
                <c:pt idx="3">
                  <c:v>2023</c:v>
                </c:pt>
              </c:numCache>
            </c:numRef>
          </c:cat>
          <c:val>
            <c:numRef>
              <c:f>'PS5.03_Ind01'!$D$16:$G$16</c:f>
              <c:numCache>
                <c:formatCode>0.00%</c:formatCode>
                <c:ptCount val="4"/>
                <c:pt idx="0" formatCode="General">
                  <c:v>0</c:v>
                </c:pt>
                <c:pt idx="1">
                  <c:v>0.69599999999999995</c:v>
                </c:pt>
                <c:pt idx="2">
                  <c:v>0.90300000000000002</c:v>
                </c:pt>
                <c:pt idx="3">
                  <c:v>0.93200000000000005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C-9DE5-4695-9C8E-942A63CE7D64}"/>
            </c:ext>
          </c:extLst>
        </c:ser>
        <c:ser>
          <c:idx val="5"/>
          <c:order val="5"/>
          <c:tx>
            <c:strRef>
              <c:f>'PS5.03_Ind01'!$B$17</c:f>
              <c:strCache>
                <c:ptCount val="1"/>
                <c:pt idx="0">
                  <c:v>Matemàtica Computacional i Analítica de Dades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'PS5.03_Ind01'!$D$12:$G$12</c:f>
              <c:numCache>
                <c:formatCode>General</c:formatCode>
                <c:ptCount val="4"/>
                <c:pt idx="0">
                  <c:v>2014</c:v>
                </c:pt>
                <c:pt idx="1">
                  <c:v>2017</c:v>
                </c:pt>
                <c:pt idx="2">
                  <c:v>2020</c:v>
                </c:pt>
                <c:pt idx="3">
                  <c:v>2023</c:v>
                </c:pt>
              </c:numCache>
            </c:numRef>
          </c:cat>
          <c:val>
            <c:numRef>
              <c:f>'PS5.03_Ind01'!$D$17:$F$17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D-9DE5-4695-9C8E-942A63CE7D64}"/>
            </c:ext>
          </c:extLst>
        </c:ser>
        <c:ser>
          <c:idx val="6"/>
          <c:order val="6"/>
          <c:tx>
            <c:strRef>
              <c:f>'PS5.03_Ind01'!$B$18</c:f>
              <c:strCache>
                <c:ptCount val="1"/>
                <c:pt idx="0">
                  <c:v>Matemàtiques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'PS5.03_Ind01'!$D$12:$G$12</c:f>
              <c:numCache>
                <c:formatCode>General</c:formatCode>
                <c:ptCount val="4"/>
                <c:pt idx="0">
                  <c:v>2014</c:v>
                </c:pt>
                <c:pt idx="1">
                  <c:v>2017</c:v>
                </c:pt>
                <c:pt idx="2">
                  <c:v>2020</c:v>
                </c:pt>
                <c:pt idx="3">
                  <c:v>2023</c:v>
                </c:pt>
              </c:numCache>
            </c:numRef>
          </c:cat>
          <c:val>
            <c:numRef>
              <c:f>'PS5.03_Ind01'!$D$18:$G$18</c:f>
              <c:numCache>
                <c:formatCode>0%</c:formatCode>
                <c:ptCount val="4"/>
                <c:pt idx="0" formatCode="0.00%">
                  <c:v>0.95699999999999996</c:v>
                </c:pt>
                <c:pt idx="1">
                  <c:v>0.87</c:v>
                </c:pt>
                <c:pt idx="2" formatCode="0.00%">
                  <c:v>0.90300000000000002</c:v>
                </c:pt>
                <c:pt idx="3" formatCode="0.00%">
                  <c:v>0.88600000000000001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E-9DE5-4695-9C8E-942A63CE7D64}"/>
            </c:ext>
          </c:extLst>
        </c:ser>
        <c:ser>
          <c:idx val="7"/>
          <c:order val="7"/>
          <c:tx>
            <c:strRef>
              <c:f>'PS5.03_Ind01'!$B$19</c:f>
              <c:strCache>
                <c:ptCount val="1"/>
                <c:pt idx="0">
                  <c:v>Nanociència i Nanotecnologia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'PS5.03_Ind01'!$D$12:$G$12</c:f>
              <c:numCache>
                <c:formatCode>General</c:formatCode>
                <c:ptCount val="4"/>
                <c:pt idx="0">
                  <c:v>2014</c:v>
                </c:pt>
                <c:pt idx="1">
                  <c:v>2017</c:v>
                </c:pt>
                <c:pt idx="2">
                  <c:v>2020</c:v>
                </c:pt>
                <c:pt idx="3">
                  <c:v>2023</c:v>
                </c:pt>
              </c:numCache>
            </c:numRef>
          </c:cat>
          <c:val>
            <c:numRef>
              <c:f>'PS5.03_Ind01'!$D$19:$G$19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 formatCode="0.00%">
                  <c:v>0.91100000000000003</c:v>
                </c:pt>
                <c:pt idx="3" formatCode="0.00%">
                  <c:v>0.83599999999999997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F-9DE5-4695-9C8E-942A63CE7D64}"/>
            </c:ext>
          </c:extLst>
        </c:ser>
        <c:ser>
          <c:idx val="8"/>
          <c:order val="8"/>
          <c:tx>
            <c:strRef>
              <c:f>'PS5.03_Ind01'!$B$20</c:f>
              <c:strCache>
                <c:ptCount val="1"/>
                <c:pt idx="0">
                  <c:v>Química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'PS5.03_Ind01'!$D$12:$G$12</c:f>
              <c:numCache>
                <c:formatCode>General</c:formatCode>
                <c:ptCount val="4"/>
                <c:pt idx="0">
                  <c:v>2014</c:v>
                </c:pt>
                <c:pt idx="1">
                  <c:v>2017</c:v>
                </c:pt>
                <c:pt idx="2">
                  <c:v>2020</c:v>
                </c:pt>
                <c:pt idx="3">
                  <c:v>2023</c:v>
                </c:pt>
              </c:numCache>
            </c:numRef>
          </c:cat>
          <c:val>
            <c:numRef>
              <c:f>'PS5.03_Ind01'!$D$20:$G$20</c:f>
              <c:numCache>
                <c:formatCode>0.00%</c:formatCode>
                <c:ptCount val="4"/>
                <c:pt idx="0">
                  <c:v>0.81299999999999994</c:v>
                </c:pt>
                <c:pt idx="1">
                  <c:v>0.91800000000000004</c:v>
                </c:pt>
                <c:pt idx="2">
                  <c:v>0.90600000000000003</c:v>
                </c:pt>
                <c:pt idx="3">
                  <c:v>0.90100000000000002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0-9DE5-4695-9C8E-942A63CE7D64}"/>
            </c:ext>
          </c:extLst>
        </c:ser>
        <c:ser>
          <c:idx val="9"/>
          <c:order val="9"/>
          <c:tx>
            <c:strRef>
              <c:f>'PS5.03_Ind01'!$B$21</c:f>
              <c:strCache>
                <c:ptCount val="1"/>
                <c:pt idx="0">
                  <c:v>Estudis Interdisciplinaris en Sostenibilitat Ambiental, Econòmica i Social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'PS5.03_Ind01'!$D$12:$G$12</c:f>
              <c:numCache>
                <c:formatCode>General</c:formatCode>
                <c:ptCount val="4"/>
                <c:pt idx="0">
                  <c:v>2014</c:v>
                </c:pt>
                <c:pt idx="1">
                  <c:v>2017</c:v>
                </c:pt>
                <c:pt idx="2">
                  <c:v>2020</c:v>
                </c:pt>
                <c:pt idx="3">
                  <c:v>2023</c:v>
                </c:pt>
              </c:numCache>
            </c:numRef>
          </c:cat>
          <c:val>
            <c:numRef>
              <c:f>'PS5.03_Ind01'!$D$21:$G$21</c:f>
              <c:numCache>
                <c:formatCode>0.00%</c:formatCode>
                <c:ptCount val="4"/>
                <c:pt idx="0">
                  <c:v>0.878</c:v>
                </c:pt>
                <c:pt idx="1">
                  <c:v>0.92200000000000004</c:v>
                </c:pt>
                <c:pt idx="2">
                  <c:v>0.875</c:v>
                </c:pt>
                <c:pt idx="3" formatCode="0%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E5-4695-9C8E-942A63CE7D64}"/>
            </c:ext>
          </c:extLst>
        </c:ser>
        <c:ser>
          <c:idx val="10"/>
          <c:order val="10"/>
          <c:tx>
            <c:strRef>
              <c:f>'PS5.03_Ind01'!$B$22</c:f>
              <c:strCache>
                <c:ptCount val="1"/>
                <c:pt idx="0">
                  <c:v>Física d’Altes Energies, Astrofísica i Cosmologia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'PS5.03_Ind01'!$D$12:$G$12</c:f>
              <c:numCache>
                <c:formatCode>General</c:formatCode>
                <c:ptCount val="4"/>
                <c:pt idx="0">
                  <c:v>2014</c:v>
                </c:pt>
                <c:pt idx="1">
                  <c:v>2017</c:v>
                </c:pt>
                <c:pt idx="2">
                  <c:v>2020</c:v>
                </c:pt>
                <c:pt idx="3">
                  <c:v>2023</c:v>
                </c:pt>
              </c:numCache>
            </c:numRef>
          </c:cat>
          <c:val>
            <c:numRef>
              <c:f>'PS5.03_Ind01'!$D$22:$G$22</c:f>
              <c:numCache>
                <c:formatCode>0.00%</c:formatCode>
                <c:ptCount val="4"/>
                <c:pt idx="0">
                  <c:v>0.76300000000000001</c:v>
                </c:pt>
                <c:pt idx="1">
                  <c:v>0.76800000000000002</c:v>
                </c:pt>
                <c:pt idx="2" formatCode="0%">
                  <c:v>0.85</c:v>
                </c:pt>
                <c:pt idx="3">
                  <c:v>0.95199999999999996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E5-4695-9C8E-942A63CE7D64}"/>
            </c:ext>
          </c:extLst>
        </c:ser>
        <c:ser>
          <c:idx val="11"/>
          <c:order val="11"/>
          <c:tx>
            <c:strRef>
              <c:f>'PS5.03_Ind01'!$B$23</c:f>
              <c:strCache>
                <c:ptCount val="1"/>
                <c:pt idx="0">
                  <c:v>Història de la Ciència: Ciència, Història i Societat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'PS5.03_Ind01'!$D$12:$G$12</c:f>
              <c:numCache>
                <c:formatCode>General</c:formatCode>
                <c:ptCount val="4"/>
                <c:pt idx="0">
                  <c:v>2014</c:v>
                </c:pt>
                <c:pt idx="1">
                  <c:v>2017</c:v>
                </c:pt>
                <c:pt idx="2">
                  <c:v>2020</c:v>
                </c:pt>
                <c:pt idx="3">
                  <c:v>2023</c:v>
                </c:pt>
              </c:numCache>
            </c:numRef>
          </c:cat>
          <c:val>
            <c:numRef>
              <c:f>'PS5.03_Ind01'!$D$23:$G$23</c:f>
              <c:numCache>
                <c:formatCode>0.00%</c:formatCode>
                <c:ptCount val="4"/>
                <c:pt idx="0">
                  <c:v>0.71899999999999997</c:v>
                </c:pt>
                <c:pt idx="1">
                  <c:v>0.81299999999999994</c:v>
                </c:pt>
                <c:pt idx="2">
                  <c:v>0.877</c:v>
                </c:pt>
                <c:pt idx="3">
                  <c:v>0.76500000000000001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E5-4695-9C8E-942A63CE7D64}"/>
            </c:ext>
          </c:extLst>
        </c:ser>
        <c:ser>
          <c:idx val="12"/>
          <c:order val="12"/>
          <c:tx>
            <c:strRef>
              <c:f>'PS5.03_Ind01'!$B$24</c:f>
              <c:strCache>
                <c:ptCount val="1"/>
                <c:pt idx="0">
                  <c:v>Modelització per a la Ciència, Història i Societat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'PS5.03_Ind01'!$D$12:$G$12</c:f>
              <c:numCache>
                <c:formatCode>General</c:formatCode>
                <c:ptCount val="4"/>
                <c:pt idx="0">
                  <c:v>2014</c:v>
                </c:pt>
                <c:pt idx="1">
                  <c:v>2017</c:v>
                </c:pt>
                <c:pt idx="2">
                  <c:v>2020</c:v>
                </c:pt>
                <c:pt idx="3">
                  <c:v>2023</c:v>
                </c:pt>
              </c:numCache>
            </c:numRef>
          </c:cat>
          <c:val>
            <c:numRef>
              <c:f>'PS5.03_Ind01'!$D$24:$G$24</c:f>
              <c:numCache>
                <c:formatCode>0.00%</c:formatCode>
                <c:ptCount val="4"/>
                <c:pt idx="0">
                  <c:v>0.76300000000000001</c:v>
                </c:pt>
                <c:pt idx="1">
                  <c:v>0.76800000000000002</c:v>
                </c:pt>
                <c:pt idx="2" formatCode="0%">
                  <c:v>0.85</c:v>
                </c:pt>
                <c:pt idx="3">
                  <c:v>0.93600000000000005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E5-4695-9C8E-942A63CE7D64}"/>
            </c:ext>
          </c:extLst>
        </c:ser>
        <c:ser>
          <c:idx val="13"/>
          <c:order val="13"/>
          <c:tx>
            <c:strRef>
              <c:f>'PS5.03_Ind01'!$B$25</c:f>
              <c:strCache>
                <c:ptCount val="1"/>
                <c:pt idx="0">
                  <c:v>Nanociència i Nanotecnologia Avançades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'PS5.03_Ind01'!$D$12:$G$12</c:f>
              <c:numCache>
                <c:formatCode>General</c:formatCode>
                <c:ptCount val="4"/>
                <c:pt idx="0">
                  <c:v>2014</c:v>
                </c:pt>
                <c:pt idx="1">
                  <c:v>2017</c:v>
                </c:pt>
                <c:pt idx="2">
                  <c:v>2020</c:v>
                </c:pt>
                <c:pt idx="3">
                  <c:v>2023</c:v>
                </c:pt>
              </c:numCache>
            </c:numRef>
          </c:cat>
          <c:val>
            <c:numRef>
              <c:f>'PS5.03_Ind01'!$D$25:$G$25</c:f>
              <c:numCache>
                <c:formatCode>0.00%</c:formatCode>
                <c:ptCount val="4"/>
                <c:pt idx="0" formatCode="0%">
                  <c:v>0.92</c:v>
                </c:pt>
                <c:pt idx="1">
                  <c:v>0.89300000000000002</c:v>
                </c:pt>
                <c:pt idx="2">
                  <c:v>0.97099999999999997</c:v>
                </c:pt>
                <c:pt idx="3">
                  <c:v>0.95499999999999996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E5-4695-9C8E-942A63CE7D64}"/>
            </c:ext>
          </c:extLst>
        </c:ser>
        <c:ser>
          <c:idx val="14"/>
          <c:order val="14"/>
          <c:tx>
            <c:strRef>
              <c:f>'PS5.03_Ind01'!$B$26</c:f>
              <c:strCache>
                <c:ptCount val="1"/>
                <c:pt idx="0">
                  <c:v>Palleobiologia i Registre Fòssil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solidFill>
                  <a:schemeClr val="accent2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9DE5-4695-9C8E-942A63CE7D64}"/>
              </c:ext>
            </c:extLst>
          </c:dPt>
          <c:cat>
            <c:numRef>
              <c:f>'PS5.03_Ind01'!$D$12:$G$12</c:f>
              <c:numCache>
                <c:formatCode>General</c:formatCode>
                <c:ptCount val="4"/>
                <c:pt idx="0">
                  <c:v>2014</c:v>
                </c:pt>
                <c:pt idx="1">
                  <c:v>2017</c:v>
                </c:pt>
                <c:pt idx="2">
                  <c:v>2020</c:v>
                </c:pt>
                <c:pt idx="3">
                  <c:v>2023</c:v>
                </c:pt>
              </c:numCache>
            </c:numRef>
          </c:cat>
          <c:val>
            <c:numRef>
              <c:f>'PS5.03_Ind01'!$D$26:$G$26</c:f>
              <c:numCache>
                <c:formatCode>0.00%</c:formatCode>
                <c:ptCount val="4"/>
                <c:pt idx="0">
                  <c:v>0.83599999999999997</c:v>
                </c:pt>
                <c:pt idx="1">
                  <c:v>0.88900000000000001</c:v>
                </c:pt>
                <c:pt idx="2" formatCode="0%">
                  <c:v>0.88</c:v>
                </c:pt>
                <c:pt idx="3">
                  <c:v>0.85699999999999998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E5-4695-9C8E-942A63CE7D64}"/>
            </c:ext>
          </c:extLst>
        </c:ser>
        <c:ser>
          <c:idx val="15"/>
          <c:order val="15"/>
          <c:tx>
            <c:strRef>
              <c:f>'PS5.03_Ind01'!$B$27</c:f>
              <c:strCache>
                <c:ptCount val="1"/>
                <c:pt idx="0">
                  <c:v>Química Industrial i Introducció a la Recerca Química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'PS5.03_Ind01'!$D$12:$G$12</c:f>
              <c:numCache>
                <c:formatCode>General</c:formatCode>
                <c:ptCount val="4"/>
                <c:pt idx="0">
                  <c:v>2014</c:v>
                </c:pt>
                <c:pt idx="1">
                  <c:v>2017</c:v>
                </c:pt>
                <c:pt idx="2">
                  <c:v>2020</c:v>
                </c:pt>
                <c:pt idx="3">
                  <c:v>2023</c:v>
                </c:pt>
              </c:numCache>
            </c:numRef>
          </c:cat>
          <c:val>
            <c:numRef>
              <c:f>'PS5.03_Ind01'!$D$27:$G$27</c:f>
              <c:numCache>
                <c:formatCode>0.00%</c:formatCode>
                <c:ptCount val="4"/>
                <c:pt idx="0" formatCode="0%">
                  <c:v>0.95</c:v>
                </c:pt>
                <c:pt idx="1">
                  <c:v>0.69199999999999995</c:v>
                </c:pt>
                <c:pt idx="2">
                  <c:v>0.82899999999999996</c:v>
                </c:pt>
                <c:pt idx="3">
                  <c:v>0.92200000000000004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E5-4695-9C8E-942A63CE7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5195375"/>
        <c:axId val="13519787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'PS5.03_Ind01'!$D$12:$G$12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2014</c:v>
                      </c:pt>
                      <c:pt idx="1">
                        <c:v>2017</c:v>
                      </c:pt>
                      <c:pt idx="2">
                        <c:v>2020</c:v>
                      </c:pt>
                      <c:pt idx="3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'PS5.03_Ind01'!$D$4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9DE5-4695-9C8E-942A63CE7D64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6"/>
          <c:order val="16"/>
          <c:tx>
            <c:strRef>
              <c:f>'PS5.03_Ind01'!$B$30</c:f>
              <c:strCache>
                <c:ptCount val="1"/>
                <c:pt idx="0">
                  <c:v>Valor objectiu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5">
                    <a:lumMod val="80000"/>
                    <a:lumOff val="2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numRef>
              <c:f>'PS5.03_Ind01'!$D$12:$F$12</c:f>
              <c:numCache>
                <c:formatCode>General</c:formatCode>
                <c:ptCount val="3"/>
                <c:pt idx="0">
                  <c:v>2014</c:v>
                </c:pt>
                <c:pt idx="1">
                  <c:v>2017</c:v>
                </c:pt>
                <c:pt idx="2">
                  <c:v>2020</c:v>
                </c:pt>
              </c:numCache>
            </c:numRef>
          </c:cat>
          <c:val>
            <c:numRef>
              <c:f>'PS5.03_Ind01'!$D$30:$G$30</c:f>
              <c:numCache>
                <c:formatCode>0%</c:formatCode>
                <c:ptCount val="4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5-4695-9C8E-942A63CE7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95375"/>
        <c:axId val="135197871"/>
      </c:lineChart>
      <c:catAx>
        <c:axId val="135195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5197871"/>
        <c:crosses val="autoZero"/>
        <c:auto val="1"/>
        <c:lblAlgn val="ctr"/>
        <c:lblOffset val="100"/>
        <c:noMultiLvlLbl val="0"/>
      </c:catAx>
      <c:valAx>
        <c:axId val="13519787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51953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a-ES"/>
              <a:t>PS5.03_INd02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'PS5.03_Ind02'!$B$29</c:f>
              <c:strCache>
                <c:ptCount val="1"/>
                <c:pt idx="0">
                  <c:v>9. Gràfic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'PS5.03_Ind02'!$C$11:$H$11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'PS5.03_Ind02'!$C$29:$E$29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09AE-4725-A6F7-9D00F75EB8B6}"/>
            </c:ext>
          </c:extLst>
        </c:ser>
        <c:ser>
          <c:idx val="1"/>
          <c:order val="1"/>
          <c:tx>
            <c:strRef>
              <c:f>'PS5.03_Ind02'!$B$12</c:f>
              <c:strCache>
                <c:ptCount val="1"/>
                <c:pt idx="0">
                  <c:v>Ciències Ambientals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'PS5.03_Ind02'!$C$11:$H$11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'PS5.03_Ind02'!$C$12:$H$12</c:f>
              <c:numCache>
                <c:formatCode>General</c:formatCode>
                <c:ptCount val="6"/>
                <c:pt idx="0">
                  <c:v>45</c:v>
                </c:pt>
                <c:pt idx="1">
                  <c:v>42</c:v>
                </c:pt>
                <c:pt idx="2">
                  <c:v>31</c:v>
                </c:pt>
                <c:pt idx="3">
                  <c:v>48</c:v>
                </c:pt>
                <c:pt idx="4">
                  <c:v>44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AE-4725-A6F7-9D00F75EB8B6}"/>
            </c:ext>
          </c:extLst>
        </c:ser>
        <c:ser>
          <c:idx val="2"/>
          <c:order val="2"/>
          <c:tx>
            <c:strRef>
              <c:f>'PS5.03_Ind02'!$B$13</c:f>
              <c:strCache>
                <c:ptCount val="1"/>
                <c:pt idx="0">
                  <c:v>Estadística Aplicada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'PS5.03_Ind02'!$C$11:$H$11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'PS5.03_Ind02'!$C$13:$H$13</c:f>
              <c:numCache>
                <c:formatCode>General</c:formatCode>
                <c:ptCount val="6"/>
                <c:pt idx="0">
                  <c:v>7</c:v>
                </c:pt>
                <c:pt idx="1">
                  <c:v>11</c:v>
                </c:pt>
                <c:pt idx="2">
                  <c:v>14</c:v>
                </c:pt>
                <c:pt idx="3">
                  <c:v>18</c:v>
                </c:pt>
                <c:pt idx="4">
                  <c:v>15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AE-4725-A6F7-9D00F75EB8B6}"/>
            </c:ext>
          </c:extLst>
        </c:ser>
        <c:ser>
          <c:idx val="3"/>
          <c:order val="3"/>
          <c:tx>
            <c:strRef>
              <c:f>'PS5.03_Ind02'!$B$14</c:f>
              <c:strCache>
                <c:ptCount val="1"/>
                <c:pt idx="0">
                  <c:v>Física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'PS5.03_Ind02'!$C$11:$H$11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'PS5.03_Ind02'!$C$14:$H$14</c:f>
              <c:numCache>
                <c:formatCode>General</c:formatCode>
                <c:ptCount val="6"/>
                <c:pt idx="0">
                  <c:v>38</c:v>
                </c:pt>
                <c:pt idx="1">
                  <c:v>43</c:v>
                </c:pt>
                <c:pt idx="2">
                  <c:v>28</c:v>
                </c:pt>
                <c:pt idx="3">
                  <c:v>40</c:v>
                </c:pt>
                <c:pt idx="4">
                  <c:v>39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AE-4725-A6F7-9D00F75EB8B6}"/>
            </c:ext>
          </c:extLst>
        </c:ser>
        <c:ser>
          <c:idx val="4"/>
          <c:order val="4"/>
          <c:tx>
            <c:strRef>
              <c:f>'PS5.03_Ind02'!$B$15</c:f>
              <c:strCache>
                <c:ptCount val="1"/>
                <c:pt idx="0">
                  <c:v>Geologia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'PS5.03_Ind02'!$C$11:$H$11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'PS5.03_Ind02'!$C$15:$H$15</c:f>
              <c:numCache>
                <c:formatCode>General</c:formatCode>
                <c:ptCount val="6"/>
                <c:pt idx="0">
                  <c:v>45</c:v>
                </c:pt>
                <c:pt idx="1">
                  <c:v>33</c:v>
                </c:pt>
                <c:pt idx="2">
                  <c:v>29</c:v>
                </c:pt>
                <c:pt idx="3">
                  <c:v>52</c:v>
                </c:pt>
                <c:pt idx="4">
                  <c:v>40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AE-4725-A6F7-9D00F75EB8B6}"/>
            </c:ext>
          </c:extLst>
        </c:ser>
        <c:ser>
          <c:idx val="5"/>
          <c:order val="5"/>
          <c:tx>
            <c:strRef>
              <c:f>'PS5.03_Ind02'!$B$16</c:f>
              <c:strCache>
                <c:ptCount val="1"/>
                <c:pt idx="0">
                  <c:v>Matemàtica Computacional i Analítica de Dades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'PS5.03_Ind02'!$C$11:$H$11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'PS5.03_Ind02'!$C$16:$H$16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AE-4725-A6F7-9D00F75EB8B6}"/>
            </c:ext>
          </c:extLst>
        </c:ser>
        <c:ser>
          <c:idx val="6"/>
          <c:order val="6"/>
          <c:tx>
            <c:strRef>
              <c:f>'PS5.03_Ind02'!$B$17</c:f>
              <c:strCache>
                <c:ptCount val="1"/>
                <c:pt idx="0">
                  <c:v>Matemàtiques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'PS5.03_Ind02'!$C$11:$H$11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'PS5.03_Ind02'!$C$17:$H$17</c:f>
              <c:numCache>
                <c:formatCode>General</c:formatCode>
                <c:ptCount val="6"/>
                <c:pt idx="0">
                  <c:v>24</c:v>
                </c:pt>
                <c:pt idx="1">
                  <c:v>32</c:v>
                </c:pt>
                <c:pt idx="2">
                  <c:v>26</c:v>
                </c:pt>
                <c:pt idx="3">
                  <c:v>33</c:v>
                </c:pt>
                <c:pt idx="4">
                  <c:v>50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AE-4725-A6F7-9D00F75EB8B6}"/>
            </c:ext>
          </c:extLst>
        </c:ser>
        <c:ser>
          <c:idx val="7"/>
          <c:order val="7"/>
          <c:tx>
            <c:strRef>
              <c:f>'PS5.03_Ind02'!$B$18</c:f>
              <c:strCache>
                <c:ptCount val="1"/>
                <c:pt idx="0">
                  <c:v>Nanociència i Nanotecnologia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'PS5.03_Ind02'!$C$11:$H$11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'PS5.03_Ind02'!$C$18:$H$18</c:f>
              <c:numCache>
                <c:formatCode>General</c:formatCode>
                <c:ptCount val="6"/>
                <c:pt idx="0">
                  <c:v>40</c:v>
                </c:pt>
                <c:pt idx="1">
                  <c:v>46</c:v>
                </c:pt>
                <c:pt idx="2">
                  <c:v>18</c:v>
                </c:pt>
                <c:pt idx="3">
                  <c:v>19</c:v>
                </c:pt>
                <c:pt idx="4">
                  <c:v>19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9AE-4725-A6F7-9D00F75EB8B6}"/>
            </c:ext>
          </c:extLst>
        </c:ser>
        <c:ser>
          <c:idx val="8"/>
          <c:order val="8"/>
          <c:tx>
            <c:strRef>
              <c:f>'PS5.03_Ind02'!$B$19</c:f>
              <c:strCache>
                <c:ptCount val="1"/>
                <c:pt idx="0">
                  <c:v>Química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'PS5.03_Ind02'!$C$11:$H$11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'PS5.03_Ind02'!$C$19:$H$19</c:f>
              <c:numCache>
                <c:formatCode>General</c:formatCode>
                <c:ptCount val="6"/>
                <c:pt idx="0">
                  <c:v>59</c:v>
                </c:pt>
                <c:pt idx="1">
                  <c:v>42</c:v>
                </c:pt>
                <c:pt idx="2">
                  <c:v>43</c:v>
                </c:pt>
                <c:pt idx="3">
                  <c:v>39</c:v>
                </c:pt>
                <c:pt idx="4">
                  <c:v>48</c:v>
                </c:pt>
                <c:pt idx="5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9AE-4725-A6F7-9D00F75EB8B6}"/>
            </c:ext>
          </c:extLst>
        </c:ser>
        <c:ser>
          <c:idx val="9"/>
          <c:order val="9"/>
          <c:tx>
            <c:strRef>
              <c:f>'PS5.03_Ind02'!$B$20</c:f>
              <c:strCache>
                <c:ptCount val="1"/>
                <c:pt idx="0">
                  <c:v>Modelització per a la Ciència i l'Enginyeria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'PS5.03_Ind02'!$C$11:$H$11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'PS5.03_Ind02'!$C$20:$H$20</c:f>
              <c:numCache>
                <c:formatCode>General</c:formatCode>
                <c:ptCount val="6"/>
                <c:pt idx="0">
                  <c:v>28</c:v>
                </c:pt>
                <c:pt idx="1">
                  <c:v>23</c:v>
                </c:pt>
                <c:pt idx="2">
                  <c:v>34</c:v>
                </c:pt>
                <c:pt idx="3">
                  <c:v>38</c:v>
                </c:pt>
                <c:pt idx="4">
                  <c:v>24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9AE-4725-A6F7-9D00F75EB8B6}"/>
            </c:ext>
          </c:extLst>
        </c:ser>
        <c:ser>
          <c:idx val="10"/>
          <c:order val="10"/>
          <c:tx>
            <c:strRef>
              <c:f>'PS5.03_Ind02'!$B$21</c:f>
              <c:strCache>
                <c:ptCount val="1"/>
                <c:pt idx="0">
                  <c:v>Química Industrial i Introducció a la Recerca Química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'PS5.03_Ind02'!$C$11:$H$11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'PS5.03_Ind02'!$C$21:$H$21</c:f>
              <c:numCache>
                <c:formatCode>General</c:formatCode>
                <c:ptCount val="6"/>
                <c:pt idx="0">
                  <c:v>43</c:v>
                </c:pt>
                <c:pt idx="1">
                  <c:v>42</c:v>
                </c:pt>
                <c:pt idx="2">
                  <c:v>47</c:v>
                </c:pt>
                <c:pt idx="3">
                  <c:v>38</c:v>
                </c:pt>
                <c:pt idx="4">
                  <c:v>21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AE-4725-A6F7-9D00F75EB8B6}"/>
            </c:ext>
          </c:extLst>
        </c:ser>
        <c:ser>
          <c:idx val="11"/>
          <c:order val="11"/>
          <c:tx>
            <c:strRef>
              <c:f>'PS5.03_Ind02'!$B$22</c:f>
              <c:strCache>
                <c:ptCount val="1"/>
                <c:pt idx="0">
                  <c:v>Estudis Intersdisciplinars en Sost. Ambiental, Econ. i Social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'PS5.03_Ind02'!$C$11:$H$11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'PS5.03_Ind02'!$C$22:$H$22</c:f>
              <c:numCache>
                <c:formatCode>General</c:formatCode>
                <c:ptCount val="6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8</c:v>
                </c:pt>
                <c:pt idx="4">
                  <c:v>15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9AE-4725-A6F7-9D00F75EB8B6}"/>
            </c:ext>
          </c:extLst>
        </c:ser>
        <c:ser>
          <c:idx val="12"/>
          <c:order val="12"/>
          <c:tx>
            <c:strRef>
              <c:f>'PS5.03_Ind02'!$B$23</c:f>
              <c:strCache>
                <c:ptCount val="1"/>
                <c:pt idx="0">
                  <c:v>Història de la Ciència: Ciència, Història i Societat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'PS5.03_Ind02'!$C$11:$H$11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'PS5.03_Ind02'!$C$23:$H$23</c:f>
              <c:numCache>
                <c:formatCode>General</c:formatCode>
                <c:ptCount val="6"/>
                <c:pt idx="0">
                  <c:v>11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9AE-4725-A6F7-9D00F75EB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70113392"/>
        <c:axId val="1381472720"/>
      </c:barChart>
      <c:lineChart>
        <c:grouping val="standard"/>
        <c:varyColors val="0"/>
        <c:ser>
          <c:idx val="13"/>
          <c:order val="13"/>
          <c:tx>
            <c:strRef>
              <c:f>'PS5.03_Ind02'!$B$26</c:f>
              <c:strCache>
                <c:ptCount val="1"/>
                <c:pt idx="0">
                  <c:v>Valor Objectiu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>
                    <a:lumMod val="80000"/>
                    <a:lumOff val="2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'PS5.03_Ind02'!$C$11:$G$11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'PS5.03_Ind02'!$C$26:$H$26</c:f>
              <c:numCache>
                <c:formatCode>General</c:formatCode>
                <c:ptCount val="6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9AE-4725-A6F7-9D00F75EB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113392"/>
        <c:axId val="1381472720"/>
      </c:lineChart>
      <c:catAx>
        <c:axId val="127011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1472720"/>
        <c:crosses val="autoZero"/>
        <c:auto val="1"/>
        <c:lblAlgn val="ctr"/>
        <c:lblOffset val="100"/>
        <c:noMultiLvlLbl val="0"/>
      </c:catAx>
      <c:valAx>
        <c:axId val="138147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7011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a-ES" sz="1000" b="1">
                <a:effectLst/>
              </a:rPr>
              <a:t>PS5.03_Ind03. Valoració mitjana a l’afirmació “La formació rebuda m’ha permès millorar les capacitats per a l’activitat professional</a:t>
            </a:r>
            <a:r>
              <a:rPr lang="ca-ES" sz="1000">
                <a:effectLst/>
              </a:rPr>
              <a:t>”.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'PS5.03_Ind03'!$B$36</c:f>
              <c:strCache>
                <c:ptCount val="1"/>
                <c:pt idx="0">
                  <c:v>9. Gràfic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'PS5.03_Ind03'!$D$12:$H$12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'PS5.03_Ind03'!$C$36:$E$36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AA25-4BB6-9A7F-643F6C492A31}"/>
            </c:ext>
          </c:extLst>
        </c:ser>
        <c:ser>
          <c:idx val="1"/>
          <c:order val="1"/>
          <c:tx>
            <c:strRef>
              <c:f>'PS5.03_Ind03'!$B$13</c:f>
              <c:strCache>
                <c:ptCount val="1"/>
                <c:pt idx="0">
                  <c:v>Ciències Ambientals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'PS5.03_Ind03'!$D$12:$H$12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'PS5.03_Ind03'!$D$13:$H$13</c:f>
              <c:numCache>
                <c:formatCode>General</c:formatCode>
                <c:ptCount val="5"/>
                <c:pt idx="0">
                  <c:v>3.73</c:v>
                </c:pt>
                <c:pt idx="1">
                  <c:v>0</c:v>
                </c:pt>
                <c:pt idx="2">
                  <c:v>3.5</c:v>
                </c:pt>
                <c:pt idx="3">
                  <c:v>4.4000000000000004</c:v>
                </c:pt>
                <c:pt idx="4">
                  <c:v>3.12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25-4BB6-9A7F-643F6C492A31}"/>
            </c:ext>
          </c:extLst>
        </c:ser>
        <c:ser>
          <c:idx val="2"/>
          <c:order val="2"/>
          <c:tx>
            <c:strRef>
              <c:f>'PS5.03_Ind03'!$B$14</c:f>
              <c:strCache>
                <c:ptCount val="1"/>
                <c:pt idx="0">
                  <c:v>Ciències Ambientals i Grau en Geologia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'PS5.03_Ind03'!$D$12:$H$12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'PS5.03_Ind03'!$D$14:$H$14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3.4</c:v>
                </c:pt>
                <c:pt idx="3">
                  <c:v>4</c:v>
                </c:pt>
                <c:pt idx="4">
                  <c:v>3.86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25-4BB6-9A7F-643F6C492A31}"/>
            </c:ext>
          </c:extLst>
        </c:ser>
        <c:ser>
          <c:idx val="3"/>
          <c:order val="3"/>
          <c:tx>
            <c:strRef>
              <c:f>'PS5.03_Ind03'!$B$15</c:f>
              <c:strCache>
                <c:ptCount val="1"/>
                <c:pt idx="0">
                  <c:v>Estadística Aplicada  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'PS5.03_Ind03'!$D$12:$H$12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'PS5.03_Ind03'!$D$15:$H$15</c:f>
              <c:numCache>
                <c:formatCode>General</c:formatCode>
                <c:ptCount val="5"/>
                <c:pt idx="0">
                  <c:v>0</c:v>
                </c:pt>
                <c:pt idx="1">
                  <c:v>4</c:v>
                </c:pt>
                <c:pt idx="2">
                  <c:v>4.5</c:v>
                </c:pt>
                <c:pt idx="3">
                  <c:v>2.5</c:v>
                </c:pt>
                <c:pt idx="4">
                  <c:v>4.67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25-4BB6-9A7F-643F6C492A31}"/>
            </c:ext>
          </c:extLst>
        </c:ser>
        <c:ser>
          <c:idx val="4"/>
          <c:order val="4"/>
          <c:tx>
            <c:strRef>
              <c:f>'PS5.03_Ind03'!$B$16</c:f>
              <c:strCache>
                <c:ptCount val="1"/>
                <c:pt idx="0">
                  <c:v>Física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'PS5.03_Ind03'!$D$12:$H$12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'PS5.03_Ind03'!$D$16:$H$16</c:f>
              <c:numCache>
                <c:formatCode>General</c:formatCode>
                <c:ptCount val="5"/>
                <c:pt idx="0">
                  <c:v>3.33</c:v>
                </c:pt>
                <c:pt idx="1">
                  <c:v>3.52</c:v>
                </c:pt>
                <c:pt idx="2">
                  <c:v>3.46</c:v>
                </c:pt>
                <c:pt idx="3">
                  <c:v>2.5</c:v>
                </c:pt>
                <c:pt idx="4">
                  <c:v>3.71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25-4BB6-9A7F-643F6C492A31}"/>
            </c:ext>
          </c:extLst>
        </c:ser>
        <c:ser>
          <c:idx val="5"/>
          <c:order val="5"/>
          <c:tx>
            <c:strRef>
              <c:f>'PS5.03_Ind03'!$B$17</c:f>
              <c:strCache>
                <c:ptCount val="1"/>
                <c:pt idx="0">
                  <c:v>Física i Matemàtiques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'PS5.03_Ind03'!$D$12:$H$12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'PS5.03_Ind03'!$D$17:$H$17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25-4BB6-9A7F-643F6C492A31}"/>
            </c:ext>
          </c:extLst>
        </c:ser>
        <c:ser>
          <c:idx val="6"/>
          <c:order val="6"/>
          <c:tx>
            <c:strRef>
              <c:f>'PS5.03_Ind03'!$B$18</c:f>
              <c:strCache>
                <c:ptCount val="1"/>
                <c:pt idx="0">
                  <c:v>Física i Química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'PS5.03_Ind03'!$D$12:$H$12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'PS5.03_Ind03'!$D$18:$H$18</c:f>
              <c:numCache>
                <c:formatCode>General</c:formatCode>
                <c:ptCount val="5"/>
                <c:pt idx="0">
                  <c:v>3.25</c:v>
                </c:pt>
                <c:pt idx="1">
                  <c:v>4.1399999999999997</c:v>
                </c:pt>
                <c:pt idx="2">
                  <c:v>0</c:v>
                </c:pt>
                <c:pt idx="3">
                  <c:v>3.25</c:v>
                </c:pt>
                <c:pt idx="4">
                  <c:v>4.13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25-4BB6-9A7F-643F6C492A31}"/>
            </c:ext>
          </c:extLst>
        </c:ser>
        <c:ser>
          <c:idx val="7"/>
          <c:order val="7"/>
          <c:tx>
            <c:strRef>
              <c:f>'PS5.03_Ind03'!$B$19</c:f>
              <c:strCache>
                <c:ptCount val="1"/>
                <c:pt idx="0">
                  <c:v>Geologia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'PS5.03_Ind03'!$D$12:$H$12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'PS5.03_Ind03'!$D$19:$H$19</c:f>
              <c:numCache>
                <c:formatCode>General</c:formatCode>
                <c:ptCount val="5"/>
                <c:pt idx="0">
                  <c:v>3.6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A25-4BB6-9A7F-643F6C492A31}"/>
            </c:ext>
          </c:extLst>
        </c:ser>
        <c:ser>
          <c:idx val="8"/>
          <c:order val="8"/>
          <c:tx>
            <c:strRef>
              <c:f>'PS5.03_Ind03'!$B$20</c:f>
              <c:strCache>
                <c:ptCount val="1"/>
                <c:pt idx="0">
                  <c:v>Matemàtica Computacional i Analítica de Dades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'PS5.03_Ind03'!$D$12:$H$12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'PS5.03_Ind03'!$D$20:$H$20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4.8600000000000003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A25-4BB6-9A7F-643F6C492A31}"/>
            </c:ext>
          </c:extLst>
        </c:ser>
        <c:ser>
          <c:idx val="9"/>
          <c:order val="9"/>
          <c:tx>
            <c:strRef>
              <c:f>'PS5.03_Ind03'!$B$21</c:f>
              <c:strCache>
                <c:ptCount val="1"/>
                <c:pt idx="0">
                  <c:v>Matemàtiques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'PS5.03_Ind03'!$D$12:$H$12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'PS5.03_Ind03'!$D$21:$H$21</c:f>
              <c:numCache>
                <c:formatCode>General</c:formatCode>
                <c:ptCount val="5"/>
                <c:pt idx="0">
                  <c:v>4.0999999999999996</c:v>
                </c:pt>
                <c:pt idx="1">
                  <c:v>3.57</c:v>
                </c:pt>
                <c:pt idx="2">
                  <c:v>4</c:v>
                </c:pt>
                <c:pt idx="3">
                  <c:v>1.6</c:v>
                </c:pt>
                <c:pt idx="4">
                  <c:v>3.87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A25-4BB6-9A7F-643F6C492A31}"/>
            </c:ext>
          </c:extLst>
        </c:ser>
        <c:ser>
          <c:idx val="10"/>
          <c:order val="10"/>
          <c:tx>
            <c:strRef>
              <c:f>'PS5.03_Ind03'!$B$22</c:f>
              <c:strCache>
                <c:ptCount val="1"/>
                <c:pt idx="0">
                  <c:v>Nanociència i Nanotecnologia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'PS5.03_Ind03'!$D$12:$H$12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'PS5.03_Ind03'!$D$22:$H$22</c:f>
              <c:numCache>
                <c:formatCode>General</c:formatCode>
                <c:ptCount val="5"/>
                <c:pt idx="0">
                  <c:v>4.09</c:v>
                </c:pt>
                <c:pt idx="1">
                  <c:v>4.4400000000000004</c:v>
                </c:pt>
                <c:pt idx="2">
                  <c:v>4.4000000000000004</c:v>
                </c:pt>
                <c:pt idx="3">
                  <c:v>2.5</c:v>
                </c:pt>
                <c:pt idx="4">
                  <c:v>3.82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A25-4BB6-9A7F-643F6C492A31}"/>
            </c:ext>
          </c:extLst>
        </c:ser>
        <c:ser>
          <c:idx val="11"/>
          <c:order val="11"/>
          <c:tx>
            <c:strRef>
              <c:f>'PS5.03_Ind03'!$B$23</c:f>
              <c:strCache>
                <c:ptCount val="1"/>
                <c:pt idx="0">
                  <c:v>Química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'PS5.03_Ind03'!$D$12:$H$12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'PS5.03_Ind03'!$D$23:$H$23</c:f>
              <c:numCache>
                <c:formatCode>General</c:formatCode>
                <c:ptCount val="5"/>
                <c:pt idx="0">
                  <c:v>3.71</c:v>
                </c:pt>
                <c:pt idx="1">
                  <c:v>3.7</c:v>
                </c:pt>
                <c:pt idx="2">
                  <c:v>3.08</c:v>
                </c:pt>
                <c:pt idx="3">
                  <c:v>3.75</c:v>
                </c:pt>
                <c:pt idx="4">
                  <c:v>3.89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A25-4BB6-9A7F-643F6C492A31}"/>
            </c:ext>
          </c:extLst>
        </c:ser>
        <c:ser>
          <c:idx val="12"/>
          <c:order val="12"/>
          <c:tx>
            <c:strRef>
              <c:f>'PS5.03_Ind03'!$B$24</c:f>
              <c:strCache>
                <c:ptCount val="1"/>
                <c:pt idx="0">
                  <c:v>Estudis Interdisciplinaris en Sostenibilitat Ambiental, Econòmica i Social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'PS5.03_Ind03'!$D$12:$H$12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'PS5.03_Ind03'!$D$24:$H$24</c:f>
              <c:numCache>
                <c:formatCode>General</c:formatCode>
                <c:ptCount val="5"/>
                <c:pt idx="0">
                  <c:v>3</c:v>
                </c:pt>
                <c:pt idx="1">
                  <c:v>0</c:v>
                </c:pt>
                <c:pt idx="2">
                  <c:v>3.67</c:v>
                </c:pt>
                <c:pt idx="3">
                  <c:v>0</c:v>
                </c:pt>
                <c:pt idx="4">
                  <c:v>3.89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A25-4BB6-9A7F-643F6C492A31}"/>
            </c:ext>
          </c:extLst>
        </c:ser>
        <c:ser>
          <c:idx val="13"/>
          <c:order val="13"/>
          <c:tx>
            <c:strRef>
              <c:f>'PS5.03_Ind03'!$B$25</c:f>
              <c:strCache>
                <c:ptCount val="1"/>
                <c:pt idx="0">
                  <c:v>Física d'Altes Energies, Astrofísica i Cosmologia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'PS5.03_Ind03'!$D$12:$H$12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'PS5.03_Ind03'!$D$25:$H$25</c:f>
              <c:numCache>
                <c:formatCode>General</c:formatCode>
                <c:ptCount val="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A25-4BB6-9A7F-643F6C492A31}"/>
            </c:ext>
          </c:extLst>
        </c:ser>
        <c:ser>
          <c:idx val="14"/>
          <c:order val="14"/>
          <c:tx>
            <c:strRef>
              <c:f>'PS5.03_Ind03'!$B$26</c:f>
              <c:strCache>
                <c:ptCount val="1"/>
                <c:pt idx="0">
                  <c:v>Història de la Ciència: Ciència, Història i Societat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'PS5.03_Ind03'!$D$12:$H$12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'PS5.03_Ind03'!$D$26:$H$26</c:f>
              <c:numCache>
                <c:formatCode>General</c:formatCode>
                <c:ptCount val="5"/>
                <c:pt idx="0">
                  <c:v>5</c:v>
                </c:pt>
                <c:pt idx="1">
                  <c:v>0</c:v>
                </c:pt>
                <c:pt idx="2">
                  <c:v>4.4400000000000004</c:v>
                </c:pt>
                <c:pt idx="3">
                  <c:v>0</c:v>
                </c:pt>
                <c:pt idx="4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A25-4BB6-9A7F-643F6C492A31}"/>
            </c:ext>
          </c:extLst>
        </c:ser>
        <c:ser>
          <c:idx val="15"/>
          <c:order val="15"/>
          <c:tx>
            <c:strRef>
              <c:f>'PS5.03_Ind03'!$B$27</c:f>
              <c:strCache>
                <c:ptCount val="1"/>
                <c:pt idx="0">
                  <c:v>Modelització per a la Ciència i l'Enginyeria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'PS5.03_Ind03'!$D$12:$H$12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'PS5.03_Ind03'!$D$27:$H$27</c:f>
              <c:numCache>
                <c:formatCode>General</c:formatCode>
                <c:ptCount val="5"/>
                <c:pt idx="0">
                  <c:v>4.5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A25-4BB6-9A7F-643F6C492A31}"/>
            </c:ext>
          </c:extLst>
        </c:ser>
        <c:ser>
          <c:idx val="16"/>
          <c:order val="16"/>
          <c:tx>
            <c:strRef>
              <c:f>'PS5.03_Ind03'!$B$28</c:f>
              <c:strCache>
                <c:ptCount val="1"/>
                <c:pt idx="0">
                  <c:v>Nanociència i Nanotecnologia Avançades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'PS5.03_Ind03'!$D$12:$H$12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'PS5.03_Ind03'!$D$28:$H$28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4.33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A25-4BB6-9A7F-643F6C492A31}"/>
            </c:ext>
          </c:extLst>
        </c:ser>
        <c:ser>
          <c:idx val="17"/>
          <c:order val="17"/>
          <c:tx>
            <c:strRef>
              <c:f>'PS5.03_Ind03'!$B$29</c:f>
              <c:strCache>
                <c:ptCount val="1"/>
                <c:pt idx="0">
                  <c:v>Paleobiologia i Registre Fòssil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'PS5.03_Ind03'!$D$12:$H$12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'PS5.03_Ind03'!$D$29:$H$29</c:f>
              <c:numCache>
                <c:formatCode>General</c:formatCode>
                <c:ptCount val="5"/>
                <c:pt idx="0">
                  <c:v>4.5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A25-4BB6-9A7F-643F6C492A31}"/>
            </c:ext>
          </c:extLst>
        </c:ser>
        <c:ser>
          <c:idx val="18"/>
          <c:order val="18"/>
          <c:tx>
            <c:strRef>
              <c:f>'PS5.03_Ind03'!$B$30</c:f>
              <c:strCache>
                <c:ptCount val="1"/>
                <c:pt idx="0">
                  <c:v>Química Industrial i Introducció a la Recerca Química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'PS5.03_Ind03'!$D$12:$H$12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'PS5.03_Ind03'!$D$30:$H$30</c:f>
              <c:numCache>
                <c:formatCode>General</c:formatCode>
                <c:ptCount val="5"/>
                <c:pt idx="0">
                  <c:v>3.5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3.85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A25-4BB6-9A7F-643F6C492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35227600"/>
        <c:axId val="1349764864"/>
      </c:barChart>
      <c:lineChart>
        <c:grouping val="standard"/>
        <c:varyColors val="0"/>
        <c:ser>
          <c:idx val="19"/>
          <c:order val="19"/>
          <c:tx>
            <c:strRef>
              <c:f>'PS5.03_Ind03'!$B$33</c:f>
              <c:strCache>
                <c:ptCount val="1"/>
                <c:pt idx="0">
                  <c:v>Valor objectiu</c:v>
                </c:pt>
              </c:strCache>
            </c:strRef>
          </c:tx>
          <c:spPr>
            <a:ln w="34925" cap="rnd">
              <a:solidFill>
                <a:schemeClr val="accent2">
                  <a:lumMod val="8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>
                    <a:lumMod val="8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'PS5.03_Ind03'!$D$12:$H$12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'PS5.03_Ind03'!$D$33:$H$33</c:f>
              <c:numCache>
                <c:formatCode>0.00</c:formatCode>
                <c:ptCount val="5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A25-4BB6-9A7F-643F6C492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227600"/>
        <c:axId val="1349764864"/>
      </c:lineChart>
      <c:catAx>
        <c:axId val="183522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49764864"/>
        <c:crosses val="autoZero"/>
        <c:auto val="1"/>
        <c:lblAlgn val="ctr"/>
        <c:lblOffset val="100"/>
        <c:noMultiLvlLbl val="0"/>
      </c:catAx>
      <c:valAx>
        <c:axId val="1349764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83522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a-ES" sz="1200" b="1">
                <a:effectLst/>
              </a:rPr>
              <a:t>PS5.03_Ind04</a:t>
            </a:r>
            <a:r>
              <a:rPr lang="ca-ES" sz="1200" b="1" baseline="0">
                <a:effectLst/>
              </a:rPr>
              <a:t> Evolució del nombre d'empreses (Indicador Pla Estratègic de 22/23 fins 24/25)</a:t>
            </a:r>
            <a:r>
              <a:rPr lang="ca-ES" sz="1200" b="1">
                <a:effectLst/>
              </a:rPr>
              <a:t>.</a:t>
            </a:r>
            <a:endParaRPr lang="ca-E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'PS5.03_Ind04'!$B$13</c:f>
              <c:strCache>
                <c:ptCount val="1"/>
                <c:pt idx="0">
                  <c:v>Evolució del nombre d'empreses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'PS5.03_Ind04'!$F$12:$H$12</c:f>
              <c:strCache>
                <c:ptCount val="3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</c:strCache>
            </c:strRef>
          </c:cat>
          <c:val>
            <c:numRef>
              <c:f>'PS5.03_Ind04'!$E$13:$G$13</c:f>
              <c:numCache>
                <c:formatCode>General</c:formatCode>
                <c:ptCount val="3"/>
                <c:pt idx="0">
                  <c:v>153</c:v>
                </c:pt>
                <c:pt idx="1">
                  <c:v>159</c:v>
                </c:pt>
                <c:pt idx="2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1F-41E3-87DF-1FBB16F94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77754480"/>
        <c:axId val="176569897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'PS4.03_Ind05'!#REF!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'PS5.03_Ind04'!$F$12:$H$12</c15:sqref>
                        </c15:formulaRef>
                      </c:ext>
                    </c:extLst>
                    <c:strCache>
                      <c:ptCount val="3"/>
                      <c:pt idx="0">
                        <c:v>2020/2021</c:v>
                      </c:pt>
                      <c:pt idx="1">
                        <c:v>2021/2022</c:v>
                      </c:pt>
                      <c:pt idx="2">
                        <c:v>2022/2023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'PS4.03_Ind05'!#REF!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FA1F-41E3-87DF-1FBB16F94A2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'PS4.03_Ind05'!#REF!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3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3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'PS5.03_Ind04'!$F$12:$H$12</c15:sqref>
                        </c15:formulaRef>
                      </c:ext>
                    </c:extLst>
                    <c:strCache>
                      <c:ptCount val="3"/>
                      <c:pt idx="0">
                        <c:v>2020/2021</c:v>
                      </c:pt>
                      <c:pt idx="1">
                        <c:v>2021/2022</c:v>
                      </c:pt>
                      <c:pt idx="2">
                        <c:v>2022/2023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'PS4.03_Ind05'!#REF!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A1F-41E3-87DF-1FBB16F94A2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'PS4.03_Ind05'!#REF!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'PS5.03_Ind04'!$F$12:$H$12</c15:sqref>
                        </c15:formulaRef>
                      </c:ext>
                    </c:extLst>
                    <c:strCache>
                      <c:ptCount val="3"/>
                      <c:pt idx="0">
                        <c:v>2020/2021</c:v>
                      </c:pt>
                      <c:pt idx="1">
                        <c:v>2021/2022</c:v>
                      </c:pt>
                      <c:pt idx="2">
                        <c:v>2022/2023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'PS4.03_Ind05'!#REF!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A1F-41E3-87DF-1FBB16F94A2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'PS4.03_Ind05'!#REF!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'PS5.03_Ind04'!$F$12:$H$12</c15:sqref>
                        </c15:formulaRef>
                      </c:ext>
                    </c:extLst>
                    <c:strCache>
                      <c:ptCount val="3"/>
                      <c:pt idx="0">
                        <c:v>2020/2021</c:v>
                      </c:pt>
                      <c:pt idx="1">
                        <c:v>2021/2022</c:v>
                      </c:pt>
                      <c:pt idx="2">
                        <c:v>2022/2023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'PS4.03_Ind05'!#REF!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A1F-41E3-87DF-1FBB16F94A2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'PS4.03_Ind05'!#REF!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6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6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'PS5.03_Ind04'!$F$12:$H$12</c15:sqref>
                        </c15:formulaRef>
                      </c:ext>
                    </c:extLst>
                    <c:strCache>
                      <c:ptCount val="3"/>
                      <c:pt idx="0">
                        <c:v>2020/2021</c:v>
                      </c:pt>
                      <c:pt idx="1">
                        <c:v>2021/2022</c:v>
                      </c:pt>
                      <c:pt idx="2">
                        <c:v>2022/2023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'PS4.03_Ind05'!#REF!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A1F-41E3-87DF-1FBB16F94A26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'PS4.03_Ind05'!#REF!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lumMod val="6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6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'PS5.03_Ind04'!$F$12:$H$12</c15:sqref>
                        </c15:formulaRef>
                      </c:ext>
                    </c:extLst>
                    <c:strCache>
                      <c:ptCount val="3"/>
                      <c:pt idx="0">
                        <c:v>2020/2021</c:v>
                      </c:pt>
                      <c:pt idx="1">
                        <c:v>2021/2022</c:v>
                      </c:pt>
                      <c:pt idx="2">
                        <c:v>2022/2023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'PS4.03_Ind05'!#REF!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A1F-41E3-87DF-1FBB16F94A26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'PS4.03_Ind05'!#REF!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lumMod val="6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6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'PS5.03_Ind04'!$F$12:$H$12</c15:sqref>
                        </c15:formulaRef>
                      </c:ext>
                    </c:extLst>
                    <c:strCache>
                      <c:ptCount val="3"/>
                      <c:pt idx="0">
                        <c:v>2020/2021</c:v>
                      </c:pt>
                      <c:pt idx="1">
                        <c:v>2021/2022</c:v>
                      </c:pt>
                      <c:pt idx="2">
                        <c:v>2022/2023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'PS4.03_Ind05'!#REF!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A1F-41E3-87DF-1FBB16F94A26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'PS4.03_Ind05'!#REF!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6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3">
                          <a:lumMod val="6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3">
                          <a:lumMod val="6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'PS5.03_Ind04'!$F$12:$H$12</c15:sqref>
                        </c15:formulaRef>
                      </c:ext>
                    </c:extLst>
                    <c:strCache>
                      <c:ptCount val="3"/>
                      <c:pt idx="0">
                        <c:v>2020/2021</c:v>
                      </c:pt>
                      <c:pt idx="1">
                        <c:v>2021/2022</c:v>
                      </c:pt>
                      <c:pt idx="2">
                        <c:v>2022/2023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'PS4.03_Ind05'!#REF!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A1F-41E3-87DF-1FBB16F94A26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'PS4.03_Ind05'!#REF!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6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lumMod val="6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6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'PS5.03_Ind04'!$F$12:$H$12</c15:sqref>
                        </c15:formulaRef>
                      </c:ext>
                    </c:extLst>
                    <c:strCache>
                      <c:ptCount val="3"/>
                      <c:pt idx="0">
                        <c:v>2020/2021</c:v>
                      </c:pt>
                      <c:pt idx="1">
                        <c:v>2021/2022</c:v>
                      </c:pt>
                      <c:pt idx="2">
                        <c:v>2022/2023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'PS4.03_Ind05'!#REF!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A1F-41E3-87DF-1FBB16F94A26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'PS4.03_Ind05'!#REF!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6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lumMod val="6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6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'PS5.03_Ind04'!$F$12:$H$12</c15:sqref>
                        </c15:formulaRef>
                      </c:ext>
                    </c:extLst>
                    <c:strCache>
                      <c:ptCount val="3"/>
                      <c:pt idx="0">
                        <c:v>2020/2021</c:v>
                      </c:pt>
                      <c:pt idx="1">
                        <c:v>2021/2022</c:v>
                      </c:pt>
                      <c:pt idx="2">
                        <c:v>2022/2023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'PS4.03_Ind05'!#REF!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A1F-41E3-87DF-1FBB16F94A26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'PS4.03_Ind03'!#REF!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6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6">
                          <a:lumMod val="6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6">
                          <a:lumMod val="6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'PS5.03_Ind04'!$F$12:$H$12</c15:sqref>
                        </c15:formulaRef>
                      </c:ext>
                    </c:extLst>
                    <c:strCache>
                      <c:ptCount val="3"/>
                      <c:pt idx="0">
                        <c:v>2020/2021</c:v>
                      </c:pt>
                      <c:pt idx="1">
                        <c:v>2021/2022</c:v>
                      </c:pt>
                      <c:pt idx="2">
                        <c:v>2022/2023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'PS4.03_Ind03'!#REF!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FA1F-41E3-87DF-1FBB16F94A26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'PS4.03_Ind03'!#REF!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80000"/>
                          <a:lumOff val="2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lumMod val="80000"/>
                          <a:lumOff val="2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80000"/>
                          <a:lumOff val="2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'PS5.03_Ind04'!$F$12:$H$12</c15:sqref>
                        </c15:formulaRef>
                      </c:ext>
                    </c:extLst>
                    <c:strCache>
                      <c:ptCount val="3"/>
                      <c:pt idx="0">
                        <c:v>2020/2021</c:v>
                      </c:pt>
                      <c:pt idx="1">
                        <c:v>2021/2022</c:v>
                      </c:pt>
                      <c:pt idx="2">
                        <c:v>2022/2023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'PS4.03_Ind03'!#REF!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FA1F-41E3-87DF-1FBB16F94A26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'PS4.03_Ind03'!#REF!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80000"/>
                          <a:lumOff val="2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lumMod val="80000"/>
                          <a:lumOff val="2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80000"/>
                          <a:lumOff val="2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'PS5.03_Ind04'!$F$12:$H$12</c15:sqref>
                        </c15:formulaRef>
                      </c:ext>
                    </c:extLst>
                    <c:strCache>
                      <c:ptCount val="3"/>
                      <c:pt idx="0">
                        <c:v>2020/2021</c:v>
                      </c:pt>
                      <c:pt idx="1">
                        <c:v>2021/2022</c:v>
                      </c:pt>
                      <c:pt idx="2">
                        <c:v>2022/2023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'PS4.03_Ind03'!#REF!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FA1F-41E3-87DF-1FBB16F94A26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'PS4.03_Ind03'!#REF!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80000"/>
                          <a:lumOff val="2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3">
                          <a:lumMod val="80000"/>
                          <a:lumOff val="2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3">
                          <a:lumMod val="80000"/>
                          <a:lumOff val="2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'PS5.03_Ind04'!$F$12:$H$12</c15:sqref>
                        </c15:formulaRef>
                      </c:ext>
                    </c:extLst>
                    <c:strCache>
                      <c:ptCount val="3"/>
                      <c:pt idx="0">
                        <c:v>2020/2021</c:v>
                      </c:pt>
                      <c:pt idx="1">
                        <c:v>2021/2022</c:v>
                      </c:pt>
                      <c:pt idx="2">
                        <c:v>2022/2023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'PS4.03_Ind03'!#REF!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FA1F-41E3-87DF-1FBB16F94A26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'PS4.03_Ind03'!#REF!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80000"/>
                          <a:lumOff val="2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lumMod val="80000"/>
                          <a:lumOff val="2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80000"/>
                          <a:lumOff val="2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'PS5.03_Ind04'!$F$12:$H$12</c15:sqref>
                        </c15:formulaRef>
                      </c:ext>
                    </c:extLst>
                    <c:strCache>
                      <c:ptCount val="3"/>
                      <c:pt idx="0">
                        <c:v>2020/2021</c:v>
                      </c:pt>
                      <c:pt idx="1">
                        <c:v>2021/2022</c:v>
                      </c:pt>
                      <c:pt idx="2">
                        <c:v>2022/2023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'PS4.03_Ind03'!#REF!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FA1F-41E3-87DF-1FBB16F94A26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'PS4.03_Ind03'!#REF!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80000"/>
                          <a:lumOff val="2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lumMod val="80000"/>
                          <a:lumOff val="2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80000"/>
                          <a:lumOff val="2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'PS5.03_Ind04'!$F$12:$H$12</c15:sqref>
                        </c15:formulaRef>
                      </c:ext>
                    </c:extLst>
                    <c:strCache>
                      <c:ptCount val="3"/>
                      <c:pt idx="0">
                        <c:v>2020/2021</c:v>
                      </c:pt>
                      <c:pt idx="1">
                        <c:v>2021/2022</c:v>
                      </c:pt>
                      <c:pt idx="2">
                        <c:v>2022/2023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'PS4.03_Ind03'!#REF!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FA1F-41E3-87DF-1FBB16F94A26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7"/>
          <c:order val="17"/>
          <c:tx>
            <c:strRef>
              <c:f>'PS5.03_Ind04'!$B$15</c:f>
              <c:strCache>
                <c:ptCount val="1"/>
                <c:pt idx="0">
                  <c:v>Valor objectiu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6">
                    <a:lumMod val="80000"/>
                    <a:lumOff val="2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'PS5.03_Ind04'!$E$12:$G$12</c:f>
              <c:strCache>
                <c:ptCount val="3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</c:strCache>
            </c:strRef>
          </c:cat>
          <c:val>
            <c:numRef>
              <c:f>'PS5.03_Ind04'!$E$15:$G$15</c:f>
              <c:numCache>
                <c:formatCode>General</c:formatCode>
                <c:ptCount val="3"/>
                <c:pt idx="0">
                  <c:v>10</c:v>
                </c:pt>
                <c:pt idx="1">
                  <c:v>10</c:v>
                </c:pt>
                <c:pt idx="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1F-41E3-87DF-1FBB16F94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7754480"/>
        <c:axId val="1765698976"/>
      </c:lineChart>
      <c:catAx>
        <c:axId val="137775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765698976"/>
        <c:crosses val="autoZero"/>
        <c:auto val="1"/>
        <c:lblAlgn val="ctr"/>
        <c:lblOffset val="100"/>
        <c:noMultiLvlLbl val="0"/>
      </c:catAx>
      <c:valAx>
        <c:axId val="176569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77754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1">
                <a:solidFill>
                  <a:srgbClr val="757575"/>
                </a:solidFill>
                <a:latin typeface="Arial"/>
              </a:defRPr>
            </a:pPr>
            <a:r>
              <a:rPr lang="en-US"/>
              <a:t> </a:t>
            </a:r>
          </a:p>
          <a:p>
            <a:pPr lvl="0">
              <a:defRPr sz="1400" b="1">
                <a:solidFill>
                  <a:srgbClr val="757575"/>
                </a:solidFill>
                <a:latin typeface="Arial"/>
              </a:defRPr>
            </a:pPr>
            <a:endParaRPr lang="en-US"/>
          </a:p>
        </c:rich>
      </c:tx>
      <c:layout>
        <c:manualLayout>
          <c:xMode val="edge"/>
          <c:yMode val="edge"/>
          <c:x val="0.26512189302279565"/>
          <c:y val="1.8713450292397661E-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AA84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50" b="1" baseline="0">
                    <a:solidFill>
                      <a:srgbClr val="000000"/>
                    </a:solidFill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'PS5.04_Ind01'!$D$34:$G$34</c:f>
              <c:numCache>
                <c:formatCode>0.00%</c:formatCode>
                <c:ptCount val="4"/>
                <c:pt idx="0">
                  <c:v>0.1875</c:v>
                </c:pt>
                <c:pt idx="1">
                  <c:v>6.25E-2</c:v>
                </c:pt>
                <c:pt idx="2">
                  <c:v>6.25E-2</c:v>
                </c:pt>
                <c:pt idx="3">
                  <c:v>0.27777777777777779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80E-40E3-8192-E7391B8B2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1423127"/>
        <c:axId val="517237689"/>
      </c:barChart>
      <c:catAx>
        <c:axId val="11514231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ca-E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660" b="0" baseline="0">
                <a:solidFill>
                  <a:srgbClr val="000000"/>
                </a:solidFill>
                <a:latin typeface="+mn-lt"/>
              </a:defRPr>
            </a:pPr>
            <a:endParaRPr lang="ca-ES"/>
          </a:p>
        </c:txPr>
        <c:crossAx val="517237689"/>
        <c:crosses val="autoZero"/>
        <c:auto val="1"/>
        <c:lblAlgn val="ctr"/>
        <c:lblOffset val="100"/>
        <c:noMultiLvlLbl val="1"/>
      </c:catAx>
      <c:valAx>
        <c:axId val="51723768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ca-ES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ca-ES"/>
          </a:p>
        </c:txPr>
        <c:crossAx val="1151423127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PS5.04_Ind01: Percentatge de participació a les enquestes PAAD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5.4884844620039112E-2"/>
          <c:y val="0.17148024173470686"/>
          <c:w val="0.90673235641715266"/>
          <c:h val="0.7639100684261974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'PS5.04_Ind01'!$B$13</c:f>
              <c:strCache>
                <c:ptCount val="1"/>
                <c:pt idx="0">
                  <c:v>Ciències Ambientals</c:v>
                </c:pt>
              </c:strCache>
              <c:extLst xmlns:c15="http://schemas.microsoft.com/office/drawing/2012/chart"/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'PS5.04_Ind01'!$E$12:$I$12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'PS5.04_Ind01'!$E$13:$I$13</c:f>
              <c:numCache>
                <c:formatCode>0.00%</c:formatCode>
                <c:ptCount val="5"/>
                <c:pt idx="0">
                  <c:v>0.16699999999999998</c:v>
                </c:pt>
                <c:pt idx="1">
                  <c:v>9.6000000000000002E-2</c:v>
                </c:pt>
                <c:pt idx="2">
                  <c:v>0.2445</c:v>
                </c:pt>
                <c:pt idx="3">
                  <c:v>0.2235</c:v>
                </c:pt>
                <c:pt idx="4">
                  <c:v>0.38450000000000001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583C-4E24-A404-2FCD5B8C55C7}"/>
            </c:ext>
          </c:extLst>
        </c:ser>
        <c:ser>
          <c:idx val="2"/>
          <c:order val="2"/>
          <c:tx>
            <c:strRef>
              <c:f>'PS5.04_Ind01'!$B$14</c:f>
              <c:strCache>
                <c:ptCount val="1"/>
                <c:pt idx="0">
                  <c:v>Ciències Ambientals i Grau en Geologia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'PS5.04_Ind01'!$E$12:$I$12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'PS5.04_Ind01'!$E$14:$I$14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0.23499999999999999</c:v>
                </c:pt>
                <c:pt idx="3">
                  <c:v>0.2195</c:v>
                </c:pt>
                <c:pt idx="4">
                  <c:v>0.35649999999999998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583C-4E24-A404-2FCD5B8C55C7}"/>
            </c:ext>
          </c:extLst>
        </c:ser>
        <c:ser>
          <c:idx val="3"/>
          <c:order val="3"/>
          <c:tx>
            <c:strRef>
              <c:f>'PS5.04_Ind01'!$B$15</c:f>
              <c:strCache>
                <c:ptCount val="1"/>
                <c:pt idx="0">
                  <c:v>Estadística Aplicada   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'PS5.04_Ind01'!$E$12:$I$12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'PS5.04_Ind01'!$E$15:$I$15</c:f>
              <c:numCache>
                <c:formatCode>0.00%</c:formatCode>
                <c:ptCount val="5"/>
                <c:pt idx="0">
                  <c:v>0.19550000000000001</c:v>
                </c:pt>
                <c:pt idx="1">
                  <c:v>0.11900000000000001</c:v>
                </c:pt>
                <c:pt idx="2">
                  <c:v>0.27550000000000002</c:v>
                </c:pt>
                <c:pt idx="3">
                  <c:v>0.17949999999999999</c:v>
                </c:pt>
                <c:pt idx="4">
                  <c:v>0.32250000000000001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583C-4E24-A404-2FCD5B8C55C7}"/>
            </c:ext>
          </c:extLst>
        </c:ser>
        <c:ser>
          <c:idx val="4"/>
          <c:order val="4"/>
          <c:tx>
            <c:strRef>
              <c:f>'PS5.04_Ind01'!$B$16</c:f>
              <c:strCache>
                <c:ptCount val="1"/>
                <c:pt idx="0">
                  <c:v>Física</c:v>
                </c:pt>
              </c:strCache>
              <c:extLst xmlns:c15="http://schemas.microsoft.com/office/drawing/2012/chart"/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'PS5.04_Ind01'!$E$12:$I$12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'PS5.04_Ind01'!$E$16:$I$16</c:f>
              <c:numCache>
                <c:formatCode>0.00%</c:formatCode>
                <c:ptCount val="5"/>
                <c:pt idx="0">
                  <c:v>0.214</c:v>
                </c:pt>
                <c:pt idx="1">
                  <c:v>0.1115</c:v>
                </c:pt>
                <c:pt idx="2">
                  <c:v>0.34599999999999997</c:v>
                </c:pt>
                <c:pt idx="3">
                  <c:v>0.32250000000000001</c:v>
                </c:pt>
                <c:pt idx="4">
                  <c:v>0.41949999999999998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583C-4E24-A404-2FCD5B8C55C7}"/>
            </c:ext>
          </c:extLst>
        </c:ser>
        <c:ser>
          <c:idx val="5"/>
          <c:order val="5"/>
          <c:tx>
            <c:strRef>
              <c:f>'PS5.04_Ind01'!$B$17</c:f>
              <c:strCache>
                <c:ptCount val="1"/>
                <c:pt idx="0">
                  <c:v>Física i Matemàtiques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'PS5.04_Ind01'!$E$12:$I$12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'PS5.04_Ind01'!$E$17:$I$17</c:f>
              <c:numCache>
                <c:formatCode>0.00%</c:formatCode>
                <c:ptCount val="5"/>
                <c:pt idx="0">
                  <c:v>0.21449999999999997</c:v>
                </c:pt>
                <c:pt idx="1">
                  <c:v>0.11799999999999999</c:v>
                </c:pt>
                <c:pt idx="2">
                  <c:v>0.39500000000000002</c:v>
                </c:pt>
                <c:pt idx="3">
                  <c:v>0.41949999999999998</c:v>
                </c:pt>
                <c:pt idx="4">
                  <c:v>0.36349999999999999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583C-4E24-A404-2FCD5B8C55C7}"/>
            </c:ext>
          </c:extLst>
        </c:ser>
        <c:ser>
          <c:idx val="6"/>
          <c:order val="6"/>
          <c:tx>
            <c:strRef>
              <c:f>'PS5.04_Ind01'!$B$18</c:f>
              <c:strCache>
                <c:ptCount val="1"/>
                <c:pt idx="0">
                  <c:v>Física i Química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'PS5.04_Ind01'!$E$12:$I$12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'PS5.04_Ind01'!$E$18:$I$18</c:f>
              <c:numCache>
                <c:formatCode>0.00%</c:formatCode>
                <c:ptCount val="5"/>
                <c:pt idx="0">
                  <c:v>0.18049999999999999</c:v>
                </c:pt>
                <c:pt idx="1">
                  <c:v>0.11599999999999999</c:v>
                </c:pt>
                <c:pt idx="2">
                  <c:v>0.47549999999999998</c:v>
                </c:pt>
                <c:pt idx="3">
                  <c:v>0.48599999999999999</c:v>
                </c:pt>
                <c:pt idx="4">
                  <c:v>0.46949999999999997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583C-4E24-A404-2FCD5B8C55C7}"/>
            </c:ext>
          </c:extLst>
        </c:ser>
        <c:ser>
          <c:idx val="7"/>
          <c:order val="7"/>
          <c:tx>
            <c:strRef>
              <c:f>'PS5.04_Ind01'!$B$19</c:f>
              <c:strCache>
                <c:ptCount val="1"/>
                <c:pt idx="0">
                  <c:v>Geologia</c:v>
                </c:pt>
              </c:strCache>
              <c:extLst xmlns:c15="http://schemas.microsoft.com/office/drawing/2012/chart"/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'PS5.04_Ind01'!$E$12:$I$12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'PS5.04_Ind01'!$E$19:$I$19</c:f>
              <c:numCache>
                <c:formatCode>0.00%</c:formatCode>
                <c:ptCount val="5"/>
                <c:pt idx="0">
                  <c:v>0.2175</c:v>
                </c:pt>
                <c:pt idx="1">
                  <c:v>4.5999999999999999E-2</c:v>
                </c:pt>
                <c:pt idx="2">
                  <c:v>0.2215</c:v>
                </c:pt>
                <c:pt idx="3">
                  <c:v>0.22950000000000001</c:v>
                </c:pt>
                <c:pt idx="4">
                  <c:v>0.27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583C-4E24-A404-2FCD5B8C55C7}"/>
            </c:ext>
          </c:extLst>
        </c:ser>
        <c:ser>
          <c:idx val="8"/>
          <c:order val="8"/>
          <c:tx>
            <c:strRef>
              <c:f>'PS5.04_Ind01'!$B$20</c:f>
              <c:strCache>
                <c:ptCount val="1"/>
                <c:pt idx="0">
                  <c:v>Matemàtica Computacional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'PS5.04_Ind01'!$E$12:$I$12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'PS5.04_Ind01'!$E$20:$I$20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0.53400000000000003</c:v>
                </c:pt>
                <c:pt idx="3">
                  <c:v>0.40050000000000002</c:v>
                </c:pt>
                <c:pt idx="4">
                  <c:v>0.42449999999999999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583C-4E24-A404-2FCD5B8C55C7}"/>
            </c:ext>
          </c:extLst>
        </c:ser>
        <c:ser>
          <c:idx val="9"/>
          <c:order val="9"/>
          <c:tx>
            <c:strRef>
              <c:f>'PS5.04_Ind01'!$B$21</c:f>
              <c:strCache>
                <c:ptCount val="1"/>
                <c:pt idx="0">
                  <c:v>Matemàtiques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'PS5.04_Ind01'!$E$12:$I$12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'PS5.04_Ind01'!$E$21:$I$21</c:f>
              <c:numCache>
                <c:formatCode>0.00%</c:formatCode>
                <c:ptCount val="5"/>
                <c:pt idx="0">
                  <c:v>0.20350000000000001</c:v>
                </c:pt>
                <c:pt idx="1">
                  <c:v>0.11000000000000001</c:v>
                </c:pt>
                <c:pt idx="2">
                  <c:v>0.39550000000000002</c:v>
                </c:pt>
                <c:pt idx="3">
                  <c:v>0.39400000000000002</c:v>
                </c:pt>
                <c:pt idx="4">
                  <c:v>0.32950000000000002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583C-4E24-A404-2FCD5B8C55C7}"/>
            </c:ext>
          </c:extLst>
        </c:ser>
        <c:ser>
          <c:idx val="10"/>
          <c:order val="10"/>
          <c:tx>
            <c:strRef>
              <c:f>'PS5.04_Ind01'!$B$22</c:f>
              <c:strCache>
                <c:ptCount val="1"/>
                <c:pt idx="0">
                  <c:v>Nanociència i Nanotecnologia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'PS5.04_Ind01'!$E$12:$I$12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'PS5.04_Ind01'!$E$22:$I$22</c:f>
              <c:numCache>
                <c:formatCode>0.00%</c:formatCode>
                <c:ptCount val="5"/>
                <c:pt idx="0">
                  <c:v>0.14000000000000001</c:v>
                </c:pt>
                <c:pt idx="1">
                  <c:v>6.0999999999999999E-2</c:v>
                </c:pt>
                <c:pt idx="2">
                  <c:v>0.26</c:v>
                </c:pt>
                <c:pt idx="3">
                  <c:v>0.17749999999999999</c:v>
                </c:pt>
                <c:pt idx="4">
                  <c:v>0.24099999999999999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583C-4E24-A404-2FCD5B8C55C7}"/>
            </c:ext>
          </c:extLst>
        </c:ser>
        <c:ser>
          <c:idx val="11"/>
          <c:order val="11"/>
          <c:tx>
            <c:strRef>
              <c:f>'PS5.04_Ind01'!$B$23</c:f>
              <c:strCache>
                <c:ptCount val="1"/>
                <c:pt idx="0">
                  <c:v>Química</c:v>
                </c:pt>
              </c:strCache>
              <c:extLst xmlns:c15="http://schemas.microsoft.com/office/drawing/2012/chart"/>
            </c:strRef>
          </c:tx>
          <c:spPr>
            <a:solidFill>
              <a:srgbClr val="FF7C8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'PS5.04_Ind01'!$E$12:$I$12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'PS5.04_Ind01'!$E$23:$I$23</c:f>
              <c:numCache>
                <c:formatCode>0.00%</c:formatCode>
                <c:ptCount val="5"/>
                <c:pt idx="0">
                  <c:v>0.13700000000000001</c:v>
                </c:pt>
                <c:pt idx="1">
                  <c:v>6.1499999999999999E-2</c:v>
                </c:pt>
                <c:pt idx="2">
                  <c:v>0.17749999999999999</c:v>
                </c:pt>
                <c:pt idx="3">
                  <c:v>0.19850000000000001</c:v>
                </c:pt>
                <c:pt idx="4">
                  <c:v>0.24149999999999999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B-583C-4E24-A404-2FCD5B8C55C7}"/>
            </c:ext>
          </c:extLst>
        </c:ser>
        <c:ser>
          <c:idx val="12"/>
          <c:order val="12"/>
          <c:tx>
            <c:strRef>
              <c:f>'PS5.04_Ind01'!$B$24</c:f>
              <c:strCache>
                <c:ptCount val="1"/>
                <c:pt idx="0">
                  <c:v>Estudis Interdisciplinaris en Sostenibilitat Ambiental, Econòmica i Social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'PS5.04_Ind01'!$E$12:$I$12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'PS5.04_Ind01'!$E$24:$I$24</c:f>
              <c:numCache>
                <c:formatCode>0.00%</c:formatCode>
                <c:ptCount val="5"/>
                <c:pt idx="0">
                  <c:v>0.2</c:v>
                </c:pt>
                <c:pt idx="1">
                  <c:v>0.1111</c:v>
                </c:pt>
                <c:pt idx="2">
                  <c:v>8.4499999999999992E-2</c:v>
                </c:pt>
                <c:pt idx="3">
                  <c:v>0.10299999999999999</c:v>
                </c:pt>
                <c:pt idx="4">
                  <c:v>0.17050000000000001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83C-4E24-A404-2FCD5B8C55C7}"/>
            </c:ext>
          </c:extLst>
        </c:ser>
        <c:ser>
          <c:idx val="13"/>
          <c:order val="13"/>
          <c:tx>
            <c:strRef>
              <c:f>'PS5.04_Ind01'!$B$25</c:f>
              <c:strCache>
                <c:ptCount val="1"/>
                <c:pt idx="0">
                  <c:v>Física d'Altes Energies, Astrofísica i Cosmologia</c:v>
                </c:pt>
              </c:strCache>
            </c:strRef>
          </c:tx>
          <c:spPr>
            <a:solidFill>
              <a:srgbClr val="CCFF33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'PS5.04_Ind01'!$E$12:$I$12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'PS5.04_Ind01'!$E$25:$I$25</c:f>
              <c:numCache>
                <c:formatCode>0.00%</c:formatCode>
                <c:ptCount val="5"/>
                <c:pt idx="0">
                  <c:v>0.25649999999999995</c:v>
                </c:pt>
                <c:pt idx="1">
                  <c:v>6.6699999999999995E-2</c:v>
                </c:pt>
                <c:pt idx="2">
                  <c:v>0.222</c:v>
                </c:pt>
                <c:pt idx="3">
                  <c:v>0.13300000000000001</c:v>
                </c:pt>
                <c:pt idx="4">
                  <c:v>0.17199999999999999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83C-4E24-A404-2FCD5B8C55C7}"/>
            </c:ext>
          </c:extLst>
        </c:ser>
        <c:ser>
          <c:idx val="14"/>
          <c:order val="14"/>
          <c:tx>
            <c:strRef>
              <c:f>'PS5.04_Ind01'!$B$26</c:f>
              <c:strCache>
                <c:ptCount val="1"/>
                <c:pt idx="0">
                  <c:v>Història de la Ciència: Ciència, Història i Societat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'PS5.04_Ind01'!$E$12:$I$12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'PS5.04_Ind01'!$E$26:$I$26</c:f>
              <c:numCache>
                <c:formatCode>0.00%</c:formatCode>
                <c:ptCount val="5"/>
                <c:pt idx="0">
                  <c:v>0.3165</c:v>
                </c:pt>
                <c:pt idx="1">
                  <c:v>0.5625</c:v>
                </c:pt>
                <c:pt idx="2">
                  <c:v>0.84499999999999997</c:v>
                </c:pt>
                <c:pt idx="3">
                  <c:v>0.34599999999999997</c:v>
                </c:pt>
                <c:pt idx="4">
                  <c:v>0.308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83C-4E24-A404-2FCD5B8C55C7}"/>
            </c:ext>
          </c:extLst>
        </c:ser>
        <c:ser>
          <c:idx val="15"/>
          <c:order val="15"/>
          <c:tx>
            <c:strRef>
              <c:f>'PS5.04_Ind01'!$B$27</c:f>
              <c:strCache>
                <c:ptCount val="1"/>
                <c:pt idx="0">
                  <c:v>Modelització per a la Ciència i l'Enginyeria</c:v>
                </c:pt>
              </c:strCache>
            </c:strRef>
          </c:tx>
          <c:spPr>
            <a:solidFill>
              <a:srgbClr val="9900CC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'PS5.04_Ind01'!$E$12:$I$12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'PS5.04_Ind01'!$E$27:$I$27</c:f>
              <c:numCache>
                <c:formatCode>0.00%</c:formatCode>
                <c:ptCount val="5"/>
                <c:pt idx="0">
                  <c:v>5.5E-2</c:v>
                </c:pt>
                <c:pt idx="1">
                  <c:v>3.1300000000000001E-2</c:v>
                </c:pt>
                <c:pt idx="2">
                  <c:v>0.14899999999999999</c:v>
                </c:pt>
                <c:pt idx="3">
                  <c:v>0.13400000000000001</c:v>
                </c:pt>
                <c:pt idx="4">
                  <c:v>6.9000000000000006E-2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83C-4E24-A404-2FCD5B8C55C7}"/>
            </c:ext>
          </c:extLst>
        </c:ser>
        <c:ser>
          <c:idx val="16"/>
          <c:order val="16"/>
          <c:tx>
            <c:strRef>
              <c:f>'PS5.04_Ind01'!$B$28</c:f>
              <c:strCache>
                <c:ptCount val="1"/>
                <c:pt idx="0">
                  <c:v>Nanociència i Nanotecnologia Avançades</c:v>
                </c:pt>
              </c:strCache>
            </c:strRef>
          </c:tx>
          <c:spPr>
            <a:solidFill>
              <a:srgbClr val="333399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'PS5.04_Ind01'!$E$12:$I$12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'PS5.04_Ind01'!$E$28:$I$28</c:f>
              <c:numCache>
                <c:formatCode>0.00%</c:formatCode>
                <c:ptCount val="5"/>
                <c:pt idx="0">
                  <c:v>0.29600000000000004</c:v>
                </c:pt>
                <c:pt idx="1">
                  <c:v>0.17649999999999999</c:v>
                </c:pt>
                <c:pt idx="2">
                  <c:v>0.54500000000000004</c:v>
                </c:pt>
                <c:pt idx="3">
                  <c:v>0.33300000000000002</c:v>
                </c:pt>
                <c:pt idx="4">
                  <c:v>0.36099999999999999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83C-4E24-A404-2FCD5B8C55C7}"/>
            </c:ext>
          </c:extLst>
        </c:ser>
        <c:ser>
          <c:idx val="17"/>
          <c:order val="17"/>
          <c:tx>
            <c:strRef>
              <c:f>'PS5.04_Ind01'!$B$29</c:f>
              <c:strCache>
                <c:ptCount val="1"/>
                <c:pt idx="0">
                  <c:v>Paleobiologia i Registre Fòssil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'PS5.04_Ind01'!$E$12:$I$12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'PS5.04_Ind01'!$E$30:$I$30</c:f>
              <c:numCache>
                <c:formatCode>0.00%</c:formatCode>
                <c:ptCount val="5"/>
                <c:pt idx="0">
                  <c:v>0.25</c:v>
                </c:pt>
                <c:pt idx="1">
                  <c:v>6.9800000000000001E-2</c:v>
                </c:pt>
                <c:pt idx="2">
                  <c:v>6.0999999999999999E-2</c:v>
                </c:pt>
                <c:pt idx="3">
                  <c:v>0.21099999999999999</c:v>
                </c:pt>
                <c:pt idx="4">
                  <c:v>0.72399999999999998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83C-4E24-A404-2FCD5B8C55C7}"/>
            </c:ext>
          </c:extLst>
        </c:ser>
        <c:ser>
          <c:idx val="18"/>
          <c:order val="18"/>
          <c:tx>
            <c:strRef>
              <c:f>'PS5.04_Ind01'!$B$30</c:f>
              <c:strCache>
                <c:ptCount val="1"/>
                <c:pt idx="0">
                  <c:v>Química Industrial i Introducció a la Recerca Química</c:v>
                </c:pt>
              </c:strCache>
            </c:strRef>
          </c:tx>
          <c:spPr>
            <a:solidFill>
              <a:srgbClr val="66006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'PS5.04_Ind01'!$E$12:$I$12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'PS5.04_Ind01'!$E$30:$I$30</c:f>
              <c:numCache>
                <c:formatCode>0.00%</c:formatCode>
                <c:ptCount val="5"/>
                <c:pt idx="0">
                  <c:v>0.25</c:v>
                </c:pt>
                <c:pt idx="1">
                  <c:v>6.9800000000000001E-2</c:v>
                </c:pt>
                <c:pt idx="2">
                  <c:v>6.0999999999999999E-2</c:v>
                </c:pt>
                <c:pt idx="3">
                  <c:v>0.21099999999999999</c:v>
                </c:pt>
                <c:pt idx="4">
                  <c:v>0.72399999999999998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83C-4E24-A404-2FCD5B8C5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76062687"/>
        <c:axId val="74711713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'PS5.04_Ind01'!$E$12:$I$12</c15:sqref>
                        </c15:formulaRef>
                      </c:ext>
                    </c:extLst>
                    <c:strCache>
                      <c:ptCount val="5"/>
                      <c:pt idx="0">
                        <c:v>2018/2019</c:v>
                      </c:pt>
                      <c:pt idx="1">
                        <c:v>2019/2020</c:v>
                      </c:pt>
                      <c:pt idx="2">
                        <c:v>2020/2021</c:v>
                      </c:pt>
                      <c:pt idx="3">
                        <c:v>2021/2022</c:v>
                      </c:pt>
                      <c:pt idx="4">
                        <c:v>2022/2023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'PS5.04_Ind01'!$B$9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83C-4E24-A404-2FCD5B8C55C7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9"/>
          <c:order val="19"/>
          <c:tx>
            <c:strRef>
              <c:f>'PS5.04_Ind01'!$B$33</c:f>
              <c:strCache>
                <c:ptCount val="1"/>
                <c:pt idx="0">
                  <c:v>Valor objectiu</c:v>
                </c:pt>
              </c:strCache>
            </c:strRef>
          </c:tx>
          <c:spPr>
            <a:ln w="34925" cap="rnd">
              <a:solidFill>
                <a:schemeClr val="accent2">
                  <a:lumMod val="8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>
                    <a:lumMod val="8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Lit>
              <c:ptCount val="4"/>
              <c:pt idx="0">
                <c:v>2018/2019</c:v>
              </c:pt>
              <c:pt idx="1">
                <c:v>2019/2020</c:v>
              </c:pt>
              <c:pt idx="2">
                <c:v>2020/2021</c:v>
              </c:pt>
              <c:pt idx="3">
                <c:v>2021/2022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f>'PS5.04_Ind01'!$D$33:$I$33</c:f>
              <c:numCache>
                <c:formatCode>0%</c:formatCode>
                <c:ptCount val="6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83C-4E24-A404-2FCD5B8C5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6062687"/>
        <c:axId val="747117135"/>
      </c:lineChart>
      <c:catAx>
        <c:axId val="2076062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747117135"/>
        <c:crosses val="autoZero"/>
        <c:auto val="1"/>
        <c:lblAlgn val="ctr"/>
        <c:lblOffset val="100"/>
        <c:noMultiLvlLbl val="0"/>
      </c:catAx>
      <c:valAx>
        <c:axId val="747117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076062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a-ES" sz="900"/>
              <a:t>PS5.04_iND02 pERCENTATGE DE PARTICIPACIÓ A LES ENQUESTES DE SATISFACCIÓ DE ÑES ASSIGNATURES.</a:t>
            </a:r>
          </a:p>
        </c:rich>
      </c:tx>
      <c:layout>
        <c:manualLayout>
          <c:xMode val="edge"/>
          <c:yMode val="edge"/>
          <c:x val="0.1151804461942257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4.3439460349587962E-2"/>
          <c:y val="0.15168685927306616"/>
          <c:w val="0.94581266683357357"/>
          <c:h val="0.5238928311966596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'PS5.04_Ind02'!$B$13</c:f>
              <c:strCache>
                <c:ptCount val="1"/>
                <c:pt idx="0">
                  <c:v>Ciències Ambientals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'PS5.04_Ind02'!$E$12:$I$12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'PS5.04_Ind02'!$D$13:$I$13</c:f>
              <c:numCache>
                <c:formatCode>0.00%</c:formatCode>
                <c:ptCount val="6"/>
                <c:pt idx="0">
                  <c:v>0.22570000000000001</c:v>
                </c:pt>
                <c:pt idx="1">
                  <c:v>0.26340000000000002</c:v>
                </c:pt>
                <c:pt idx="2">
                  <c:v>0.21440000000000001</c:v>
                </c:pt>
                <c:pt idx="3">
                  <c:v>0.1532</c:v>
                </c:pt>
                <c:pt idx="4">
                  <c:v>0.24164999999999998</c:v>
                </c:pt>
                <c:pt idx="5">
                  <c:v>0.36530000000000001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488B-4453-A21A-40956624EFC6}"/>
            </c:ext>
          </c:extLst>
        </c:ser>
        <c:ser>
          <c:idx val="2"/>
          <c:order val="2"/>
          <c:tx>
            <c:strRef>
              <c:f>'PS5.04_Ind02'!$B$14</c:f>
              <c:strCache>
                <c:ptCount val="1"/>
                <c:pt idx="0">
                  <c:v>Ciències Ambientals i Grau en Geologia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'PS5.04_Ind02'!$E$12:$I$12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'PS5.04_Ind02'!$D$14:$I$14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0.24709999999999999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488B-4453-A21A-40956624EFC6}"/>
            </c:ext>
          </c:extLst>
        </c:ser>
        <c:ser>
          <c:idx val="3"/>
          <c:order val="3"/>
          <c:tx>
            <c:strRef>
              <c:f>'PS5.04_Ind02'!$B$15</c:f>
              <c:strCache>
                <c:ptCount val="1"/>
                <c:pt idx="0">
                  <c:v>Estadística Aplicada   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'PS5.04_Ind02'!$E$12:$I$12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'PS5.04_Ind02'!$D$15:$I$15</c:f>
              <c:numCache>
                <c:formatCode>0.00%</c:formatCode>
                <c:ptCount val="6"/>
                <c:pt idx="0">
                  <c:v>0.16385</c:v>
                </c:pt>
                <c:pt idx="1">
                  <c:v>0.16400000000000001</c:v>
                </c:pt>
                <c:pt idx="2">
                  <c:v>0.15620000000000001</c:v>
                </c:pt>
                <c:pt idx="3">
                  <c:v>0.1094</c:v>
                </c:pt>
                <c:pt idx="4">
                  <c:v>0.1658</c:v>
                </c:pt>
                <c:pt idx="5">
                  <c:v>0.29925000000000002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488B-4453-A21A-40956624EFC6}"/>
            </c:ext>
          </c:extLst>
        </c:ser>
        <c:ser>
          <c:idx val="4"/>
          <c:order val="4"/>
          <c:tx>
            <c:strRef>
              <c:f>'PS5.04_Ind02'!$B$16</c:f>
              <c:strCache>
                <c:ptCount val="1"/>
                <c:pt idx="0">
                  <c:v>Física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'PS5.04_Ind02'!$E$12:$I$12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'PS5.04_Ind02'!$D$16:$I$16</c:f>
              <c:numCache>
                <c:formatCode>0.00%</c:formatCode>
                <c:ptCount val="6"/>
                <c:pt idx="0">
                  <c:v>0.25264999999999999</c:v>
                </c:pt>
                <c:pt idx="1">
                  <c:v>0.43974999999999997</c:v>
                </c:pt>
                <c:pt idx="2">
                  <c:v>0.34250000000000003</c:v>
                </c:pt>
                <c:pt idx="3">
                  <c:v>0.29139999999999999</c:v>
                </c:pt>
                <c:pt idx="4">
                  <c:v>0.32379999999999998</c:v>
                </c:pt>
                <c:pt idx="5">
                  <c:v>0.438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488B-4453-A21A-40956624EFC6}"/>
            </c:ext>
          </c:extLst>
        </c:ser>
        <c:ser>
          <c:idx val="5"/>
          <c:order val="5"/>
          <c:tx>
            <c:strRef>
              <c:f>'PS5.04_Ind02'!$B$17</c:f>
              <c:strCache>
                <c:ptCount val="1"/>
                <c:pt idx="0">
                  <c:v>Física i Matemàtiques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'PS5.04_Ind02'!$E$12:$I$12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'PS5.04_Ind02'!$D$17:$I$17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0.34460000000000002</c:v>
                </c:pt>
                <c:pt idx="3">
                  <c:v>0.34875</c:v>
                </c:pt>
                <c:pt idx="4">
                  <c:v>0.52010000000000001</c:v>
                </c:pt>
                <c:pt idx="5">
                  <c:v>0.51749999999999996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488B-4453-A21A-40956624EFC6}"/>
            </c:ext>
          </c:extLst>
        </c:ser>
        <c:ser>
          <c:idx val="6"/>
          <c:order val="6"/>
          <c:tx>
            <c:strRef>
              <c:f>'PS5.04_Ind02'!$B$18</c:f>
              <c:strCache>
                <c:ptCount val="1"/>
                <c:pt idx="0">
                  <c:v>Física i Química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'PS5.04_Ind02'!$E$12:$I$12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'PS5.04_Ind02'!$D$18:$I$18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0.3523</c:v>
                </c:pt>
                <c:pt idx="3">
                  <c:v>0.4239</c:v>
                </c:pt>
                <c:pt idx="4">
                  <c:v>0.44244999999999995</c:v>
                </c:pt>
                <c:pt idx="5">
                  <c:v>0.55189999999999995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488B-4453-A21A-40956624EFC6}"/>
            </c:ext>
          </c:extLst>
        </c:ser>
        <c:ser>
          <c:idx val="7"/>
          <c:order val="7"/>
          <c:tx>
            <c:strRef>
              <c:f>'PS5.04_Ind02'!$B$19</c:f>
              <c:strCache>
                <c:ptCount val="1"/>
                <c:pt idx="0">
                  <c:v>Geologia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'PS5.04_Ind02'!$E$12:$I$12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'PS5.04_Ind02'!$D$19:$I$19</c:f>
              <c:numCache>
                <c:formatCode>0.00%</c:formatCode>
                <c:ptCount val="6"/>
                <c:pt idx="0">
                  <c:v>0.19055</c:v>
                </c:pt>
                <c:pt idx="1">
                  <c:v>0.22810000000000002</c:v>
                </c:pt>
                <c:pt idx="2">
                  <c:v>0.29139999999999999</c:v>
                </c:pt>
                <c:pt idx="3">
                  <c:v>0.17094999999999999</c:v>
                </c:pt>
                <c:pt idx="4">
                  <c:v>0.29385</c:v>
                </c:pt>
                <c:pt idx="5">
                  <c:v>0.27894999999999998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488B-4453-A21A-40956624EFC6}"/>
            </c:ext>
          </c:extLst>
        </c:ser>
        <c:ser>
          <c:idx val="8"/>
          <c:order val="8"/>
          <c:tx>
            <c:strRef>
              <c:f>'PS5.04_Ind02'!$B$20</c:f>
              <c:strCache>
                <c:ptCount val="1"/>
                <c:pt idx="0">
                  <c:v>Matemàtica Computacional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'PS5.04_Ind02'!$E$12:$I$12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'PS5.04_Ind02'!$D$20:$I$20</c:f>
              <c:numCache>
                <c:formatCode>0.00%</c:formatCode>
                <c:ptCount val="6"/>
                <c:pt idx="0">
                  <c:v>0</c:v>
                </c:pt>
                <c:pt idx="1">
                  <c:v>0.33935000000000004</c:v>
                </c:pt>
                <c:pt idx="2">
                  <c:v>0.4501</c:v>
                </c:pt>
                <c:pt idx="3">
                  <c:v>0.4763</c:v>
                </c:pt>
                <c:pt idx="4">
                  <c:v>0.42659999999999998</c:v>
                </c:pt>
                <c:pt idx="5">
                  <c:v>0.43109999999999998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488B-4453-A21A-40956624EFC6}"/>
            </c:ext>
          </c:extLst>
        </c:ser>
        <c:ser>
          <c:idx val="9"/>
          <c:order val="9"/>
          <c:tx>
            <c:strRef>
              <c:f>'PS5.04_Ind02'!$B$21</c:f>
              <c:strCache>
                <c:ptCount val="1"/>
                <c:pt idx="0">
                  <c:v>Matemàtiques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'PS5.04_Ind02'!$E$12:$I$12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'PS5.04_Ind02'!$D$21:$I$21</c:f>
              <c:numCache>
                <c:formatCode>0.00%</c:formatCode>
                <c:ptCount val="6"/>
                <c:pt idx="0">
                  <c:v>0.21920000000000001</c:v>
                </c:pt>
                <c:pt idx="1">
                  <c:v>0.27295000000000003</c:v>
                </c:pt>
                <c:pt idx="2">
                  <c:v>0.34210000000000002</c:v>
                </c:pt>
                <c:pt idx="3">
                  <c:v>0.29514999999999997</c:v>
                </c:pt>
                <c:pt idx="4">
                  <c:v>0.39680000000000004</c:v>
                </c:pt>
                <c:pt idx="5">
                  <c:v>0.34470000000000001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488B-4453-A21A-40956624EFC6}"/>
            </c:ext>
          </c:extLst>
        </c:ser>
        <c:ser>
          <c:idx val="10"/>
          <c:order val="10"/>
          <c:tx>
            <c:strRef>
              <c:f>'PS5.04_Ind02'!$B$22</c:f>
              <c:strCache>
                <c:ptCount val="1"/>
                <c:pt idx="0">
                  <c:v>Nanociència i Nanotecnologia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'PS5.04_Ind02'!$E$12:$I$12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'PS5.04_Ind02'!$D$22:$I$22</c:f>
              <c:numCache>
                <c:formatCode>0.00%</c:formatCode>
                <c:ptCount val="6"/>
                <c:pt idx="0">
                  <c:v>0.18454999999999999</c:v>
                </c:pt>
                <c:pt idx="1">
                  <c:v>0.23029999999999998</c:v>
                </c:pt>
                <c:pt idx="2">
                  <c:v>0.29389999999999999</c:v>
                </c:pt>
                <c:pt idx="3">
                  <c:v>0.2034</c:v>
                </c:pt>
                <c:pt idx="4">
                  <c:v>0.16439999999999999</c:v>
                </c:pt>
                <c:pt idx="5">
                  <c:v>0.27515000000000001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488B-4453-A21A-40956624EFC6}"/>
            </c:ext>
          </c:extLst>
        </c:ser>
        <c:ser>
          <c:idx val="11"/>
          <c:order val="11"/>
          <c:tx>
            <c:strRef>
              <c:f>'PS5.04_Ind02'!$B$23</c:f>
              <c:strCache>
                <c:ptCount val="1"/>
                <c:pt idx="0">
                  <c:v>Química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'PS5.04_Ind02'!$E$12:$I$12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'PS5.04_Ind02'!$D$23:$I$23</c:f>
              <c:numCache>
                <c:formatCode>0.00%</c:formatCode>
                <c:ptCount val="6"/>
                <c:pt idx="0">
                  <c:v>0.23799999999999999</c:v>
                </c:pt>
                <c:pt idx="1">
                  <c:v>0.35899999999999999</c:v>
                </c:pt>
                <c:pt idx="2">
                  <c:v>0.34329999999999999</c:v>
                </c:pt>
                <c:pt idx="3">
                  <c:v>0.17494999999999999</c:v>
                </c:pt>
                <c:pt idx="4">
                  <c:v>0.18764999999999998</c:v>
                </c:pt>
                <c:pt idx="5">
                  <c:v>0.24049999999999999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B-488B-4453-A21A-40956624EFC6}"/>
            </c:ext>
          </c:extLst>
        </c:ser>
        <c:ser>
          <c:idx val="12"/>
          <c:order val="12"/>
          <c:tx>
            <c:strRef>
              <c:f>'PS5.04_Ind02'!$B$24</c:f>
              <c:strCache>
                <c:ptCount val="1"/>
                <c:pt idx="0">
                  <c:v>Estudis Interdisciplinaris en Sostenibilitat Ambiental, Econòmica i Social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'PS5.04_Ind02'!$E$12:$I$12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'PS5.04_Ind02'!$D$24:$I$24</c:f>
              <c:numCache>
                <c:formatCode>0.00%</c:formatCode>
                <c:ptCount val="6"/>
                <c:pt idx="0">
                  <c:v>0.11954999999999999</c:v>
                </c:pt>
                <c:pt idx="1">
                  <c:v>0.28120000000000001</c:v>
                </c:pt>
                <c:pt idx="2">
                  <c:v>0.25969999999999999</c:v>
                </c:pt>
                <c:pt idx="3">
                  <c:v>0</c:v>
                </c:pt>
                <c:pt idx="4">
                  <c:v>7.2950000000000001E-2</c:v>
                </c:pt>
                <c:pt idx="5">
                  <c:v>0.1719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88B-4453-A21A-40956624EFC6}"/>
            </c:ext>
          </c:extLst>
        </c:ser>
        <c:ser>
          <c:idx val="13"/>
          <c:order val="13"/>
          <c:tx>
            <c:strRef>
              <c:f>'PS5.04_Ind02'!$B$25</c:f>
              <c:strCache>
                <c:ptCount val="1"/>
                <c:pt idx="0">
                  <c:v>Física d'Altes Energies, Astrofísica i Cosmologia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'PS5.04_Ind02'!$E$12:$I$12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'PS5.04_Ind02'!$D$25:$I$25</c:f>
              <c:numCache>
                <c:formatCode>0.00%</c:formatCode>
                <c:ptCount val="6"/>
                <c:pt idx="0">
                  <c:v>8.6249999999999993E-2</c:v>
                </c:pt>
                <c:pt idx="1">
                  <c:v>0.42189999999999994</c:v>
                </c:pt>
                <c:pt idx="2">
                  <c:v>0.2586</c:v>
                </c:pt>
                <c:pt idx="3">
                  <c:v>0.25419999999999998</c:v>
                </c:pt>
                <c:pt idx="4">
                  <c:v>9.2500000000000013E-2</c:v>
                </c:pt>
                <c:pt idx="5">
                  <c:v>7.5999999999999998E-2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88B-4453-A21A-40956624EFC6}"/>
            </c:ext>
          </c:extLst>
        </c:ser>
        <c:ser>
          <c:idx val="14"/>
          <c:order val="14"/>
          <c:tx>
            <c:strRef>
              <c:f>'PS5.04_Ind02'!$B$26</c:f>
              <c:strCache>
                <c:ptCount val="1"/>
                <c:pt idx="0">
                  <c:v>Història de la Ciència: Ciència, Història i Societat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'PS5.04_Ind02'!$E$12:$I$12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'PS5.04_Ind02'!$D$26:$I$26</c:f>
              <c:numCache>
                <c:formatCode>0.00%</c:formatCode>
                <c:ptCount val="6"/>
                <c:pt idx="0">
                  <c:v>0.31940000000000002</c:v>
                </c:pt>
                <c:pt idx="1">
                  <c:v>0.34714999999999996</c:v>
                </c:pt>
                <c:pt idx="2">
                  <c:v>0.5625</c:v>
                </c:pt>
                <c:pt idx="3">
                  <c:v>0.74534999999999996</c:v>
                </c:pt>
                <c:pt idx="4">
                  <c:v>0.22320000000000001</c:v>
                </c:pt>
                <c:pt idx="5">
                  <c:v>0.38740000000000002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88B-4453-A21A-40956624EFC6}"/>
            </c:ext>
          </c:extLst>
        </c:ser>
        <c:ser>
          <c:idx val="15"/>
          <c:order val="15"/>
          <c:tx>
            <c:strRef>
              <c:f>'PS5.04_Ind02'!$B$27</c:f>
              <c:strCache>
                <c:ptCount val="1"/>
                <c:pt idx="0">
                  <c:v>Modelització per a la Ciència i l'Enginyeria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'PS5.04_Ind02'!$E$12:$I$12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'PS5.04_Ind02'!$D$27:$I$27</c:f>
              <c:numCache>
                <c:formatCode>0.00%</c:formatCode>
                <c:ptCount val="6"/>
                <c:pt idx="0">
                  <c:v>7.5249999999999997E-2</c:v>
                </c:pt>
                <c:pt idx="1">
                  <c:v>0.11804999999999999</c:v>
                </c:pt>
                <c:pt idx="2">
                  <c:v>0.15529999999999999</c:v>
                </c:pt>
                <c:pt idx="3">
                  <c:v>0.15609999999999999</c:v>
                </c:pt>
                <c:pt idx="4">
                  <c:v>0.10580000000000001</c:v>
                </c:pt>
                <c:pt idx="5">
                  <c:v>5.645E-2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88B-4453-A21A-40956624EFC6}"/>
            </c:ext>
          </c:extLst>
        </c:ser>
        <c:ser>
          <c:idx val="16"/>
          <c:order val="16"/>
          <c:tx>
            <c:strRef>
              <c:f>'PS5.04_Ind02'!$B$28</c:f>
              <c:strCache>
                <c:ptCount val="1"/>
                <c:pt idx="0">
                  <c:v>Nanociència i Nanotecnologia Avançades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'PS5.04_Ind02'!$E$12:$I$12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'PS5.04_Ind02'!$D$28:$I$28</c:f>
              <c:numCache>
                <c:formatCode>0.00%</c:formatCode>
                <c:ptCount val="6"/>
                <c:pt idx="0">
                  <c:v>9.0899999999999995E-2</c:v>
                </c:pt>
                <c:pt idx="1">
                  <c:v>0.35299999999999998</c:v>
                </c:pt>
                <c:pt idx="2" formatCode="0%">
                  <c:v>0.4</c:v>
                </c:pt>
                <c:pt idx="3" formatCode="General">
                  <c:v>0</c:v>
                </c:pt>
                <c:pt idx="4">
                  <c:v>0.26649999999999996</c:v>
                </c:pt>
                <c:pt idx="5">
                  <c:v>0.43940000000000001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88B-4453-A21A-40956624EFC6}"/>
            </c:ext>
          </c:extLst>
        </c:ser>
        <c:ser>
          <c:idx val="17"/>
          <c:order val="17"/>
          <c:tx>
            <c:strRef>
              <c:f>'PS5.04_Ind02'!$B$29</c:f>
              <c:strCache>
                <c:ptCount val="1"/>
                <c:pt idx="0">
                  <c:v>Paleobiologia i Registre Fòssil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'PS5.04_Ind02'!$E$12:$I$12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'PS5.04_Ind02'!$D$29:$I$29</c:f>
              <c:numCache>
                <c:formatCode>0.00%</c:formatCode>
                <c:ptCount val="6"/>
                <c:pt idx="0">
                  <c:v>0.1</c:v>
                </c:pt>
                <c:pt idx="1">
                  <c:v>0.65</c:v>
                </c:pt>
                <c:pt idx="2">
                  <c:v>0.92310000000000003</c:v>
                </c:pt>
                <c:pt idx="3" formatCode="General">
                  <c:v>0</c:v>
                </c:pt>
                <c:pt idx="4">
                  <c:v>0</c:v>
                </c:pt>
                <c:pt idx="5">
                  <c:v>0.20830000000000001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88B-4453-A21A-40956624EFC6}"/>
            </c:ext>
          </c:extLst>
        </c:ser>
        <c:ser>
          <c:idx val="18"/>
          <c:order val="18"/>
          <c:tx>
            <c:strRef>
              <c:f>'PS5.04_Ind02'!$B$30</c:f>
              <c:strCache>
                <c:ptCount val="1"/>
                <c:pt idx="0">
                  <c:v>Química Industrial i Introducció a la Recerca Química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'PS5.04_Ind02'!$E$12:$I$12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'PS5.04_Ind02'!$D$30:$I$30</c:f>
              <c:numCache>
                <c:formatCode>0.00%</c:formatCode>
                <c:ptCount val="6"/>
                <c:pt idx="0">
                  <c:v>0.15934999999999999</c:v>
                </c:pt>
                <c:pt idx="1">
                  <c:v>0.20474999999999999</c:v>
                </c:pt>
                <c:pt idx="2">
                  <c:v>0.1275</c:v>
                </c:pt>
                <c:pt idx="3">
                  <c:v>2.3400000000000001E-2</c:v>
                </c:pt>
                <c:pt idx="4">
                  <c:v>4.9599999999999998E-2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88B-4453-A21A-40956624E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27054607"/>
        <c:axId val="122706667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'PS5.04_Ind02'!$E$12:$I$12</c15:sqref>
                        </c15:formulaRef>
                      </c:ext>
                    </c:extLst>
                    <c:strCache>
                      <c:ptCount val="5"/>
                      <c:pt idx="0">
                        <c:v>2018/2019</c:v>
                      </c:pt>
                      <c:pt idx="1">
                        <c:v>2019/2020</c:v>
                      </c:pt>
                      <c:pt idx="2">
                        <c:v>2020/2021</c:v>
                      </c:pt>
                      <c:pt idx="3">
                        <c:v>2021/2022</c:v>
                      </c:pt>
                      <c:pt idx="4">
                        <c:v>2022/2023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'PS5.04_Ind02'!$D$4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88B-4453-A21A-40956624EFC6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9"/>
          <c:order val="19"/>
          <c:tx>
            <c:strRef>
              <c:f>'PS5.04_Ind02'!$B$33</c:f>
              <c:strCache>
                <c:ptCount val="1"/>
                <c:pt idx="0">
                  <c:v>Valor objectiu</c:v>
                </c:pt>
              </c:strCache>
            </c:strRef>
          </c:tx>
          <c:spPr>
            <a:ln w="34925" cap="rnd">
              <a:solidFill>
                <a:schemeClr val="accent2">
                  <a:lumMod val="8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>
                    <a:lumMod val="8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'PS5.04_Ind02'!$E$12:$H$12</c:f>
              <c:strCache>
                <c:ptCount val="4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</c:strCache>
              <c:extLst/>
            </c:strRef>
          </c:cat>
          <c:val>
            <c:numRef>
              <c:f>'PS5.04_Ind02'!$D$33:$I$33</c:f>
              <c:numCache>
                <c:formatCode>0.00%</c:formatCode>
                <c:ptCount val="6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88B-4453-A21A-40956624E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054607"/>
        <c:axId val="1227066671"/>
      </c:lineChart>
      <c:catAx>
        <c:axId val="1227054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27066671"/>
        <c:crosses val="autoZero"/>
        <c:auto val="1"/>
        <c:lblAlgn val="ctr"/>
        <c:lblOffset val="100"/>
        <c:noMultiLvlLbl val="0"/>
      </c:catAx>
      <c:valAx>
        <c:axId val="1227066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27054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2054261242423065E-2"/>
          <c:y val="0.73142312010625887"/>
          <c:w val="0.92813495491746933"/>
          <c:h val="0.249937550909584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a-ES" sz="1200" b="1">
                <a:effectLst/>
              </a:rPr>
              <a:t>PS5.04_Ind03. Valoració mitjana de l’afirmació “Estic satisfet/a amb la titulació” a les enquestes de satisfacció de la UAB.</a:t>
            </a:r>
            <a:endParaRPr lang="ca-E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'PS5.04_Ind03'!$B$36</c:f>
              <c:strCache>
                <c:ptCount val="1"/>
                <c:pt idx="0">
                  <c:v>9. Gràfic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'PS5.04_Ind03'!$D$12:$H$12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'PS5.04_Ind03'!$C$36:$E$36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0D4E-429E-9100-D5691AEFC1B4}"/>
            </c:ext>
          </c:extLst>
        </c:ser>
        <c:ser>
          <c:idx val="1"/>
          <c:order val="1"/>
          <c:tx>
            <c:strRef>
              <c:f>'PS5.04_Ind03'!$B$13</c:f>
              <c:strCache>
                <c:ptCount val="1"/>
                <c:pt idx="0">
                  <c:v>Ciències Ambientals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'PS5.04_Ind03'!$D$12:$H$12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'PS5.04_Ind03'!$D$13:$H$13</c:f>
              <c:numCache>
                <c:formatCode>General</c:formatCode>
                <c:ptCount val="5"/>
                <c:pt idx="0">
                  <c:v>4.18</c:v>
                </c:pt>
                <c:pt idx="1">
                  <c:v>0</c:v>
                </c:pt>
                <c:pt idx="2">
                  <c:v>3.75</c:v>
                </c:pt>
                <c:pt idx="3">
                  <c:v>4.2</c:v>
                </c:pt>
                <c:pt idx="4">
                  <c:v>3.69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4E-429E-9100-D5691AEFC1B4}"/>
            </c:ext>
          </c:extLst>
        </c:ser>
        <c:ser>
          <c:idx val="2"/>
          <c:order val="2"/>
          <c:tx>
            <c:strRef>
              <c:f>'PS5.04_Ind03'!$B$14</c:f>
              <c:strCache>
                <c:ptCount val="1"/>
                <c:pt idx="0">
                  <c:v>Ciències Ambientals i Grau en Geologia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'PS5.04_Ind03'!$D$12:$H$12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'PS5.04_Ind03'!$D$14:$H$14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3.8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4E-429E-9100-D5691AEFC1B4}"/>
            </c:ext>
          </c:extLst>
        </c:ser>
        <c:ser>
          <c:idx val="3"/>
          <c:order val="3"/>
          <c:tx>
            <c:strRef>
              <c:f>'PS5.04_Ind03'!$B$15</c:f>
              <c:strCache>
                <c:ptCount val="1"/>
                <c:pt idx="0">
                  <c:v>Estadística Aplicada  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'PS5.04_Ind03'!$D$12:$H$12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'PS5.04_Ind03'!$D$15:$H$15</c:f>
              <c:numCache>
                <c:formatCode>General</c:formatCode>
                <c:ptCount val="5"/>
                <c:pt idx="0">
                  <c:v>0</c:v>
                </c:pt>
                <c:pt idx="1">
                  <c:v>4.2</c:v>
                </c:pt>
                <c:pt idx="2">
                  <c:v>4.4000000000000004</c:v>
                </c:pt>
                <c:pt idx="3">
                  <c:v>3.5</c:v>
                </c:pt>
                <c:pt idx="4">
                  <c:v>4.33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4E-429E-9100-D5691AEFC1B4}"/>
            </c:ext>
          </c:extLst>
        </c:ser>
        <c:ser>
          <c:idx val="4"/>
          <c:order val="4"/>
          <c:tx>
            <c:strRef>
              <c:f>'PS5.04_Ind03'!$B$16</c:f>
              <c:strCache>
                <c:ptCount val="1"/>
                <c:pt idx="0">
                  <c:v>Física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'PS5.04_Ind03'!$D$12:$H$12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'PS5.04_Ind03'!$D$16:$H$16</c:f>
              <c:numCache>
                <c:formatCode>General</c:formatCode>
                <c:ptCount val="5"/>
                <c:pt idx="0">
                  <c:v>3.44</c:v>
                </c:pt>
                <c:pt idx="1">
                  <c:v>3.48</c:v>
                </c:pt>
                <c:pt idx="2">
                  <c:v>3.77</c:v>
                </c:pt>
                <c:pt idx="3">
                  <c:v>3.33</c:v>
                </c:pt>
                <c:pt idx="4">
                  <c:v>4.05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4E-429E-9100-D5691AEFC1B4}"/>
            </c:ext>
          </c:extLst>
        </c:ser>
        <c:ser>
          <c:idx val="5"/>
          <c:order val="5"/>
          <c:tx>
            <c:strRef>
              <c:f>'PS5.04_Ind03'!$B$17</c:f>
              <c:strCache>
                <c:ptCount val="1"/>
                <c:pt idx="0">
                  <c:v>Física i Matemàtiques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'PS5.04_Ind03'!$D$12:$H$12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'PS5.04_Ind03'!$D$17:$H$17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4E-429E-9100-D5691AEFC1B4}"/>
            </c:ext>
          </c:extLst>
        </c:ser>
        <c:ser>
          <c:idx val="6"/>
          <c:order val="6"/>
          <c:tx>
            <c:strRef>
              <c:f>'PS5.04_Ind03'!$B$18</c:f>
              <c:strCache>
                <c:ptCount val="1"/>
                <c:pt idx="0">
                  <c:v>Física i Química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'PS5.04_Ind03'!$D$12:$H$12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'PS5.04_Ind03'!$D$18:$H$18</c:f>
              <c:numCache>
                <c:formatCode>General</c:formatCode>
                <c:ptCount val="5"/>
                <c:pt idx="0">
                  <c:v>3</c:v>
                </c:pt>
                <c:pt idx="1">
                  <c:v>4.1399999999999997</c:v>
                </c:pt>
                <c:pt idx="2">
                  <c:v>0</c:v>
                </c:pt>
                <c:pt idx="3">
                  <c:v>3.75</c:v>
                </c:pt>
                <c:pt idx="4">
                  <c:v>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4E-429E-9100-D5691AEFC1B4}"/>
            </c:ext>
          </c:extLst>
        </c:ser>
        <c:ser>
          <c:idx val="7"/>
          <c:order val="7"/>
          <c:tx>
            <c:strRef>
              <c:f>'PS5.04_Ind03'!$B$19</c:f>
              <c:strCache>
                <c:ptCount val="1"/>
                <c:pt idx="0">
                  <c:v>Geologia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'PS5.04_Ind03'!$D$12:$H$12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'PS5.04_Ind03'!$D$19:$H$19</c:f>
              <c:numCache>
                <c:formatCode>General</c:formatCode>
                <c:ptCount val="5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4.1399999999999997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D4E-429E-9100-D5691AEFC1B4}"/>
            </c:ext>
          </c:extLst>
        </c:ser>
        <c:ser>
          <c:idx val="8"/>
          <c:order val="8"/>
          <c:tx>
            <c:strRef>
              <c:f>'PS5.04_Ind03'!$B$21</c:f>
              <c:strCache>
                <c:ptCount val="1"/>
                <c:pt idx="0">
                  <c:v>Matemàtiques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'PS5.04_Ind03'!$D$12:$H$12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'PS5.04_Ind03'!$D$21:$H$21</c:f>
              <c:numCache>
                <c:formatCode>General</c:formatCode>
                <c:ptCount val="5"/>
                <c:pt idx="0">
                  <c:v>4.5999999999999996</c:v>
                </c:pt>
                <c:pt idx="1">
                  <c:v>3.93</c:v>
                </c:pt>
                <c:pt idx="2">
                  <c:v>3.64</c:v>
                </c:pt>
                <c:pt idx="3">
                  <c:v>3.2</c:v>
                </c:pt>
                <c:pt idx="4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D4E-429E-9100-D5691AEFC1B4}"/>
            </c:ext>
          </c:extLst>
        </c:ser>
        <c:ser>
          <c:idx val="9"/>
          <c:order val="9"/>
          <c:tx>
            <c:strRef>
              <c:f>'PS5.04_Ind03'!$B$20</c:f>
              <c:strCache>
                <c:ptCount val="1"/>
                <c:pt idx="0">
                  <c:v>Matemàtica Computacional i Analítica de Dades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'PS5.04_Ind03'!$D$12:$H$12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'PS5.04_Ind03'!$D$20:$H$20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4.8600000000000003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D4E-429E-9100-D5691AEFC1B4}"/>
            </c:ext>
          </c:extLst>
        </c:ser>
        <c:ser>
          <c:idx val="10"/>
          <c:order val="10"/>
          <c:tx>
            <c:strRef>
              <c:f>'PS5.04_Ind03'!$B$22</c:f>
              <c:strCache>
                <c:ptCount val="1"/>
                <c:pt idx="0">
                  <c:v>Nanociència i Nanotecnologia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'PS5.04_Ind03'!$D$12:$H$12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'PS5.04_Ind03'!$D$22:$H$22</c:f>
              <c:numCache>
                <c:formatCode>General</c:formatCode>
                <c:ptCount val="5"/>
                <c:pt idx="0">
                  <c:v>3.82</c:v>
                </c:pt>
                <c:pt idx="1">
                  <c:v>3.67</c:v>
                </c:pt>
                <c:pt idx="2">
                  <c:v>4.07</c:v>
                </c:pt>
                <c:pt idx="3">
                  <c:v>3</c:v>
                </c:pt>
                <c:pt idx="4">
                  <c:v>4.18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D4E-429E-9100-D5691AEFC1B4}"/>
            </c:ext>
          </c:extLst>
        </c:ser>
        <c:ser>
          <c:idx val="11"/>
          <c:order val="11"/>
          <c:tx>
            <c:strRef>
              <c:f>'PS5.04_Ind03'!$B$23</c:f>
              <c:strCache>
                <c:ptCount val="1"/>
                <c:pt idx="0">
                  <c:v>Química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'PS5.04_Ind03'!$D$12:$H$12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'PS5.04_Ind03'!$D$23:$H$23</c:f>
              <c:numCache>
                <c:formatCode>General</c:formatCode>
                <c:ptCount val="5"/>
                <c:pt idx="0">
                  <c:v>3.58</c:v>
                </c:pt>
                <c:pt idx="1">
                  <c:v>3.74</c:v>
                </c:pt>
                <c:pt idx="2">
                  <c:v>3.17</c:v>
                </c:pt>
                <c:pt idx="3">
                  <c:v>4.75</c:v>
                </c:pt>
                <c:pt idx="4">
                  <c:v>3.79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D4E-429E-9100-D5691AEFC1B4}"/>
            </c:ext>
          </c:extLst>
        </c:ser>
        <c:ser>
          <c:idx val="12"/>
          <c:order val="12"/>
          <c:tx>
            <c:strRef>
              <c:f>'PS5.04_Ind03'!$B$24</c:f>
              <c:strCache>
                <c:ptCount val="1"/>
                <c:pt idx="0">
                  <c:v>Estudis Interdisciplinaris en Sostenibilitat Ambiental, Econòmica i Social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'PS5.04_Ind03'!$D$12:$H$12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'PS5.04_Ind03'!$D$24:$H$24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3.33</c:v>
                </c:pt>
                <c:pt idx="3">
                  <c:v>0</c:v>
                </c:pt>
                <c:pt idx="4">
                  <c:v>3.72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D4E-429E-9100-D5691AEFC1B4}"/>
            </c:ext>
          </c:extLst>
        </c:ser>
        <c:ser>
          <c:idx val="13"/>
          <c:order val="13"/>
          <c:tx>
            <c:strRef>
              <c:f>'PS5.04_Ind03'!$B$25</c:f>
              <c:strCache>
                <c:ptCount val="1"/>
                <c:pt idx="0">
                  <c:v>Física d'Altes Energies, Astrofísica i Cosmologia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'PS5.04_Ind03'!$D$12:$H$12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'PS5.04_Ind03'!$D$25:$H$25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D4E-429E-9100-D5691AEFC1B4}"/>
            </c:ext>
          </c:extLst>
        </c:ser>
        <c:ser>
          <c:idx val="14"/>
          <c:order val="14"/>
          <c:tx>
            <c:strRef>
              <c:f>'PS5.04_Ind03'!$B$26</c:f>
              <c:strCache>
                <c:ptCount val="1"/>
                <c:pt idx="0">
                  <c:v>Història de la Ciència: Ciència, Història i Societat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'PS5.04_Ind03'!$D$12:$H$12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'PS5.04_Ind03'!$D$26:$H$26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4.22</c:v>
                </c:pt>
                <c:pt idx="3">
                  <c:v>0</c:v>
                </c:pt>
                <c:pt idx="4">
                  <c:v>4.18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D4E-429E-9100-D5691AEFC1B4}"/>
            </c:ext>
          </c:extLst>
        </c:ser>
        <c:ser>
          <c:idx val="15"/>
          <c:order val="15"/>
          <c:tx>
            <c:strRef>
              <c:f>'PS5.04_Ind03'!$B$27</c:f>
              <c:strCache>
                <c:ptCount val="1"/>
                <c:pt idx="0">
                  <c:v>Modelització per a la Ciència i l'Enginyeria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'PS5.04_Ind03'!$D$12:$H$12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'PS5.04_Ind03'!$D$27:$H$27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1.5</c:v>
                </c:pt>
                <c:pt idx="4">
                  <c:v>3.38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D4E-429E-9100-D5691AEFC1B4}"/>
            </c:ext>
          </c:extLst>
        </c:ser>
        <c:ser>
          <c:idx val="16"/>
          <c:order val="16"/>
          <c:tx>
            <c:strRef>
              <c:f>'PS5.04_Ind03'!$B$28</c:f>
              <c:strCache>
                <c:ptCount val="1"/>
                <c:pt idx="0">
                  <c:v>Nanociència i Nanotecnologia Avançades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'PS5.04_Ind03'!$D$12:$H$12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'PS5.04_Ind03'!$D$28:$H$28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4.1100000000000003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D4E-429E-9100-D5691AEFC1B4}"/>
            </c:ext>
          </c:extLst>
        </c:ser>
        <c:ser>
          <c:idx val="17"/>
          <c:order val="17"/>
          <c:tx>
            <c:strRef>
              <c:f>'PS5.04_Ind03'!$B$29</c:f>
              <c:strCache>
                <c:ptCount val="1"/>
                <c:pt idx="0">
                  <c:v>Paleobiologia i Registre Fòssil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'PS5.04_Ind03'!$D$12:$H$12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'PS5.04_Ind03'!$D$29:$H$29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D4E-429E-9100-D5691AEFC1B4}"/>
            </c:ext>
          </c:extLst>
        </c:ser>
        <c:ser>
          <c:idx val="18"/>
          <c:order val="18"/>
          <c:tx>
            <c:strRef>
              <c:f>'PS5.04_Ind03'!$B$30</c:f>
              <c:strCache>
                <c:ptCount val="1"/>
                <c:pt idx="0">
                  <c:v>Química Industrial i Introducció a la Recerca Química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'PS5.04_Ind03'!$D$12:$H$12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'PS5.04_Ind03'!$D$30:$H$30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3.71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D4E-429E-9100-D5691AEFC1B4}"/>
            </c:ext>
          </c:extLst>
        </c:ser>
        <c:ser>
          <c:idx val="19"/>
          <c:order val="19"/>
          <c:tx>
            <c:strRef>
              <c:f>'PS5.04_Ind03'!$B$33</c:f>
              <c:strCache>
                <c:ptCount val="1"/>
                <c:pt idx="0">
                  <c:v>Valor objectiu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'PS5.04_Ind03'!$D$12:$H$12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'PS5.04_Ind03'!$D$33:$H$33</c:f>
              <c:numCache>
                <c:formatCode>0.00</c:formatCode>
                <c:ptCount val="5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D4E-429E-9100-D5691AEFC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718215824"/>
        <c:axId val="1550379744"/>
      </c:barChart>
      <c:catAx>
        <c:axId val="171821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50379744"/>
        <c:crosses val="autoZero"/>
        <c:auto val="1"/>
        <c:lblAlgn val="ctr"/>
        <c:lblOffset val="100"/>
        <c:noMultiLvlLbl val="0"/>
      </c:catAx>
      <c:valAx>
        <c:axId val="155037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718215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a-ES" sz="1200" b="1">
                <a:effectLst/>
              </a:rPr>
              <a:t>PS5.04_Ind04. Percentatge de respostes de l’afirmació “Tornaria a triar la mateixa titulació” a les enquestes de satisfacció de la UAB.</a:t>
            </a:r>
            <a:endParaRPr lang="ca-E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'PS5.04_Ind04'!$B$40</c:f>
              <c:strCache>
                <c:ptCount val="1"/>
                <c:pt idx="0">
                  <c:v>9. Gràfic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'PS5.04_Ind04'!$D$12:$H$12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'PS5.04_Ind04'!$C$40:$E$40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B995-40D7-A64E-EF3144EA8734}"/>
            </c:ext>
          </c:extLst>
        </c:ser>
        <c:ser>
          <c:idx val="1"/>
          <c:order val="1"/>
          <c:tx>
            <c:strRef>
              <c:f>'PS5.04_Ind04'!$B$13</c:f>
              <c:strCache>
                <c:ptCount val="1"/>
                <c:pt idx="0">
                  <c:v>Ciències Ambientals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'PS5.04_Ind04'!$D$12:$H$12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'PS5.04_Ind04'!$D$13:$H$13</c:f>
              <c:numCache>
                <c:formatCode>General</c:formatCode>
                <c:ptCount val="5"/>
                <c:pt idx="0" formatCode="0.00%">
                  <c:v>0.63639999999999997</c:v>
                </c:pt>
                <c:pt idx="1">
                  <c:v>0</c:v>
                </c:pt>
                <c:pt idx="2" formatCode="0.00%">
                  <c:v>0.625</c:v>
                </c:pt>
                <c:pt idx="3" formatCode="0.00%">
                  <c:v>0.8</c:v>
                </c:pt>
                <c:pt idx="4" formatCode="0.00%">
                  <c:v>0.88239999999999996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95-40D7-A64E-EF3144EA8734}"/>
            </c:ext>
          </c:extLst>
        </c:ser>
        <c:ser>
          <c:idx val="2"/>
          <c:order val="2"/>
          <c:tx>
            <c:strRef>
              <c:f>'PS5.04_Ind04'!$B$14</c:f>
              <c:strCache>
                <c:ptCount val="1"/>
                <c:pt idx="0">
                  <c:v>Ciències Ambientals i Grau en Geologia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'PS5.04_Ind04'!$D$12:$H$12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'PS5.04_Ind04'!$D$14:$H$14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 formatCode="0.00%">
                  <c:v>0.8</c:v>
                </c:pt>
                <c:pt idx="3" formatCode="0.00%">
                  <c:v>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95-40D7-A64E-EF3144EA8734}"/>
            </c:ext>
          </c:extLst>
        </c:ser>
        <c:ser>
          <c:idx val="3"/>
          <c:order val="3"/>
          <c:tx>
            <c:strRef>
              <c:f>'PS5.04_Ind04'!$B$15</c:f>
              <c:strCache>
                <c:ptCount val="1"/>
                <c:pt idx="0">
                  <c:v>Estadística Aplicada  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'PS5.04_Ind04'!$D$12:$H$12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'PS5.04_Ind04'!$D$15:$H$15</c:f>
              <c:numCache>
                <c:formatCode>0%</c:formatCode>
                <c:ptCount val="5"/>
                <c:pt idx="0" formatCode="General">
                  <c:v>0</c:v>
                </c:pt>
                <c:pt idx="1">
                  <c:v>1</c:v>
                </c:pt>
                <c:pt idx="2" formatCode="0.00%">
                  <c:v>0.66669999999999996</c:v>
                </c:pt>
                <c:pt idx="3" formatCode="0.00%">
                  <c:v>0.5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95-40D7-A64E-EF3144EA8734}"/>
            </c:ext>
          </c:extLst>
        </c:ser>
        <c:ser>
          <c:idx val="4"/>
          <c:order val="4"/>
          <c:tx>
            <c:strRef>
              <c:f>'PS5.04_Ind04'!$B$16</c:f>
              <c:strCache>
                <c:ptCount val="1"/>
                <c:pt idx="0">
                  <c:v>Física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'PS5.04_Ind04'!$D$12:$H$12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'PS5.04_Ind04'!$D$16:$H$16</c:f>
              <c:numCache>
                <c:formatCode>0.00%</c:formatCode>
                <c:ptCount val="5"/>
                <c:pt idx="0">
                  <c:v>0.77780000000000005</c:v>
                </c:pt>
                <c:pt idx="1">
                  <c:v>0.85709999999999997</c:v>
                </c:pt>
                <c:pt idx="2">
                  <c:v>0.69230000000000003</c:v>
                </c:pt>
                <c:pt idx="3">
                  <c:v>0.66669999999999996</c:v>
                </c:pt>
                <c:pt idx="4" formatCode="General">
                  <c:v>57.14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95-40D7-A64E-EF3144EA8734}"/>
            </c:ext>
          </c:extLst>
        </c:ser>
        <c:ser>
          <c:idx val="5"/>
          <c:order val="5"/>
          <c:tx>
            <c:strRef>
              <c:f>'PS5.04_Ind04'!$B$17</c:f>
              <c:strCache>
                <c:ptCount val="1"/>
                <c:pt idx="0">
                  <c:v>Física i Matemàtiques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'PS5.04_Ind04'!$D$12:$H$12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'PS5.04_Ind04'!$D$17:$H$17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0%">
                  <c:v>1</c:v>
                </c:pt>
                <c:pt idx="4">
                  <c:v>66.67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995-40D7-A64E-EF3144EA8734}"/>
            </c:ext>
          </c:extLst>
        </c:ser>
        <c:ser>
          <c:idx val="6"/>
          <c:order val="6"/>
          <c:tx>
            <c:strRef>
              <c:f>'PS5.04_Ind04'!$B$18</c:f>
              <c:strCache>
                <c:ptCount val="1"/>
                <c:pt idx="0">
                  <c:v>Física i Química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'PS5.04_Ind04'!$D$12:$H$12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'PS5.04_Ind04'!$D$18:$H$18</c:f>
              <c:numCache>
                <c:formatCode>0.00%</c:formatCode>
                <c:ptCount val="5"/>
                <c:pt idx="0">
                  <c:v>0.25</c:v>
                </c:pt>
                <c:pt idx="1">
                  <c:v>0.71430000000000005</c:v>
                </c:pt>
                <c:pt idx="2" formatCode="General">
                  <c:v>0</c:v>
                </c:pt>
                <c:pt idx="3">
                  <c:v>0.5</c:v>
                </c:pt>
                <c:pt idx="4" formatCode="General">
                  <c:v>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95-40D7-A64E-EF3144EA8734}"/>
            </c:ext>
          </c:extLst>
        </c:ser>
        <c:ser>
          <c:idx val="7"/>
          <c:order val="7"/>
          <c:tx>
            <c:strRef>
              <c:f>'PS5.04_Ind04'!$B$19</c:f>
              <c:strCache>
                <c:ptCount val="1"/>
                <c:pt idx="0">
                  <c:v>Geologia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'PS5.04_Ind04'!$D$12:$H$12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'PS5.04_Ind04'!$D$19:$H$19</c:f>
              <c:numCache>
                <c:formatCode>General</c:formatCode>
                <c:ptCount val="5"/>
                <c:pt idx="0" formatCode="0.00%">
                  <c:v>0.6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0.57140000000000002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995-40D7-A64E-EF3144EA8734}"/>
            </c:ext>
          </c:extLst>
        </c:ser>
        <c:ser>
          <c:idx val="8"/>
          <c:order val="8"/>
          <c:tx>
            <c:strRef>
              <c:f>'PS5.04_Ind04'!$B$20</c:f>
              <c:strCache>
                <c:ptCount val="1"/>
                <c:pt idx="0">
                  <c:v>Matemàtica Computacional i Analítica de dades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'PS5.04_Ind04'!$D$12:$H$12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'PS5.04_Ind04'!$D$20:$H$20</c:f>
              <c:numCache>
                <c:formatCode>General</c:formatCode>
                <c:ptCount val="5"/>
                <c:pt idx="0" formatCode="0.00%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%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95-40D7-A64E-EF3144EA8734}"/>
            </c:ext>
          </c:extLst>
        </c:ser>
        <c:ser>
          <c:idx val="9"/>
          <c:order val="9"/>
          <c:tx>
            <c:strRef>
              <c:f>'PS5.04_Ind04'!$B$21</c:f>
              <c:strCache>
                <c:ptCount val="1"/>
                <c:pt idx="0">
                  <c:v>Matemàtiques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'PS5.04_Ind04'!$D$12:$H$12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'PS5.04_Ind04'!$D$21:$H$21</c:f>
              <c:numCache>
                <c:formatCode>0.00%</c:formatCode>
                <c:ptCount val="5"/>
                <c:pt idx="0">
                  <c:v>1</c:v>
                </c:pt>
                <c:pt idx="1">
                  <c:v>0.64290000000000003</c:v>
                </c:pt>
                <c:pt idx="2">
                  <c:v>0.54549999999999998</c:v>
                </c:pt>
                <c:pt idx="3">
                  <c:v>0.8</c:v>
                </c:pt>
                <c:pt idx="4">
                  <c:v>0.66669999999999996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995-40D7-A64E-EF3144EA8734}"/>
            </c:ext>
          </c:extLst>
        </c:ser>
        <c:ser>
          <c:idx val="10"/>
          <c:order val="10"/>
          <c:tx>
            <c:strRef>
              <c:f>'PS5.04_Ind04'!$B$22</c:f>
              <c:strCache>
                <c:ptCount val="1"/>
                <c:pt idx="0">
                  <c:v>Nanociència i Nanotecnologia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'PS5.04_Ind04'!$D$12:$H$12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'PS5.04_Ind04'!$D$22:$H$22</c:f>
              <c:numCache>
                <c:formatCode>0.00%</c:formatCode>
                <c:ptCount val="5"/>
                <c:pt idx="0">
                  <c:v>0.63639999999999997</c:v>
                </c:pt>
                <c:pt idx="1">
                  <c:v>0.55559999999999998</c:v>
                </c:pt>
                <c:pt idx="2">
                  <c:v>0.73329999999999995</c:v>
                </c:pt>
                <c:pt idx="3">
                  <c:v>0.5</c:v>
                </c:pt>
                <c:pt idx="4">
                  <c:v>0.72729999999999995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995-40D7-A64E-EF3144EA8734}"/>
            </c:ext>
          </c:extLst>
        </c:ser>
        <c:ser>
          <c:idx val="11"/>
          <c:order val="11"/>
          <c:tx>
            <c:strRef>
              <c:f>'PS5.04_Ind04'!$B$23</c:f>
              <c:strCache>
                <c:ptCount val="1"/>
                <c:pt idx="0">
                  <c:v>Química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'PS5.04_Ind04'!$D$12:$H$12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'PS5.04_Ind04'!$D$23:$H$23</c:f>
              <c:numCache>
                <c:formatCode>0.00%</c:formatCode>
                <c:ptCount val="5"/>
                <c:pt idx="0">
                  <c:v>0.5806</c:v>
                </c:pt>
                <c:pt idx="1">
                  <c:v>0.74070000000000003</c:v>
                </c:pt>
                <c:pt idx="2">
                  <c:v>0.66669999999999996</c:v>
                </c:pt>
                <c:pt idx="3">
                  <c:v>1</c:v>
                </c:pt>
                <c:pt idx="4">
                  <c:v>0.84240000000000004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995-40D7-A64E-EF3144EA8734}"/>
            </c:ext>
          </c:extLst>
        </c:ser>
        <c:ser>
          <c:idx val="12"/>
          <c:order val="12"/>
          <c:tx>
            <c:strRef>
              <c:f>'PS5.04_Ind04'!$B$24</c:f>
              <c:strCache>
                <c:ptCount val="1"/>
                <c:pt idx="0">
                  <c:v>Estudis Interdisciplinaris en Sostenibilitat Ambiental, Econòmica i Social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'PS5.04_Ind04'!$D$12:$H$12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'PS5.04_Ind04'!$D$24:$H$24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 formatCode="0.00%">
                  <c:v>0.5</c:v>
                </c:pt>
                <c:pt idx="3">
                  <c:v>0</c:v>
                </c:pt>
                <c:pt idx="4" formatCode="0.00%">
                  <c:v>0.84209999999999996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995-40D7-A64E-EF3144EA8734}"/>
            </c:ext>
          </c:extLst>
        </c:ser>
        <c:ser>
          <c:idx val="13"/>
          <c:order val="13"/>
          <c:tx>
            <c:strRef>
              <c:f>'PS5.04_Ind04'!$B$25</c:f>
              <c:strCache>
                <c:ptCount val="1"/>
                <c:pt idx="0">
                  <c:v>Física d'Altes Energies, Astrofísica i Cosmologia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'PS5.04_Ind04'!$D$12:$H$12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'PS5.04_Ind04'!$D$25:$H$25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995-40D7-A64E-EF3144EA8734}"/>
            </c:ext>
          </c:extLst>
        </c:ser>
        <c:ser>
          <c:idx val="14"/>
          <c:order val="14"/>
          <c:tx>
            <c:strRef>
              <c:f>'PS5.04_Ind04'!$B$26</c:f>
              <c:strCache>
                <c:ptCount val="1"/>
                <c:pt idx="0">
                  <c:v>Història de la Ciència: Ciència, Història i Societat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'PS5.04_Ind04'!$D$12:$H$12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'PS5.04_Ind04'!$D$26:$H$26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 formatCode="0.00%">
                  <c:v>1</c:v>
                </c:pt>
                <c:pt idx="3">
                  <c:v>0</c:v>
                </c:pt>
                <c:pt idx="4" formatCode="0.00%">
                  <c:v>0.72729999999999995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995-40D7-A64E-EF3144EA8734}"/>
            </c:ext>
          </c:extLst>
        </c:ser>
        <c:ser>
          <c:idx val="15"/>
          <c:order val="15"/>
          <c:tx>
            <c:strRef>
              <c:f>'PS5.04_Ind04'!$B$27</c:f>
              <c:strCache>
                <c:ptCount val="1"/>
                <c:pt idx="0">
                  <c:v>Modelització per a la Ciència i l'Enginyeria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'PS5.04_Ind04'!$D$12:$H$12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'PS5.04_Ind04'!$D$27:$H$27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0%">
                  <c:v>0</c:v>
                </c:pt>
                <c:pt idx="4" formatCode="0%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995-40D7-A64E-EF3144EA8734}"/>
            </c:ext>
          </c:extLst>
        </c:ser>
        <c:ser>
          <c:idx val="16"/>
          <c:order val="16"/>
          <c:tx>
            <c:strRef>
              <c:f>'PS5.04_Ind04'!$B$28</c:f>
              <c:strCache>
                <c:ptCount val="1"/>
                <c:pt idx="0">
                  <c:v>Nanociència i Nanotecnologia Avançades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'PS5.04_Ind04'!$D$12:$H$12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'PS5.04_Ind04'!$D$28:$H$28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0%">
                  <c:v>0</c:v>
                </c:pt>
                <c:pt idx="4" formatCode="0.00%">
                  <c:v>0.77780000000000005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995-40D7-A64E-EF3144EA8734}"/>
            </c:ext>
          </c:extLst>
        </c:ser>
        <c:ser>
          <c:idx val="17"/>
          <c:order val="17"/>
          <c:tx>
            <c:strRef>
              <c:f>'PS5.04_Ind04'!$B$30</c:f>
              <c:strCache>
                <c:ptCount val="1"/>
                <c:pt idx="0">
                  <c:v>Química Industrial i Introducció a la Recerca Química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'PS5.04_Ind04'!$D$12:$H$12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'PS5.04_Ind04'!$D$30:$H$30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0%">
                  <c:v>0.33329999999999999</c:v>
                </c:pt>
                <c:pt idx="4" formatCode="0.00%">
                  <c:v>0.69230000000000003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995-40D7-A64E-EF3144EA8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97400656"/>
        <c:axId val="1550374464"/>
      </c:barChart>
      <c:lineChart>
        <c:grouping val="standard"/>
        <c:varyColors val="0"/>
        <c:ser>
          <c:idx val="18"/>
          <c:order val="18"/>
          <c:tx>
            <c:strRef>
              <c:f>'PS5.04_Ind04'!$B$33</c:f>
              <c:strCache>
                <c:ptCount val="1"/>
                <c:pt idx="0">
                  <c:v>Vaor objectriu graus</c:v>
                </c:pt>
              </c:strCache>
            </c:strRef>
          </c:tx>
          <c:spPr>
            <a:ln w="34925" cap="rnd">
              <a:solidFill>
                <a:schemeClr val="accent1">
                  <a:lumMod val="8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>
                    <a:lumMod val="8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'PS5.04_Ind04'!$D$12:$H$12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'PS5.04_Ind04'!$D$33:$H$33</c:f>
              <c:numCache>
                <c:formatCode>0.00%</c:formatCode>
                <c:ptCount val="5"/>
                <c:pt idx="0">
                  <c:v>0.65</c:v>
                </c:pt>
                <c:pt idx="1">
                  <c:v>0.65</c:v>
                </c:pt>
                <c:pt idx="2">
                  <c:v>0.65</c:v>
                </c:pt>
                <c:pt idx="3">
                  <c:v>0.65</c:v>
                </c:pt>
                <c:pt idx="4">
                  <c:v>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995-40D7-A64E-EF3144EA8734}"/>
            </c:ext>
          </c:extLst>
        </c:ser>
        <c:ser>
          <c:idx val="19"/>
          <c:order val="19"/>
          <c:tx>
            <c:strRef>
              <c:f>'PS5.04_Ind04'!$B$36</c:f>
              <c:strCache>
                <c:ptCount val="1"/>
                <c:pt idx="0">
                  <c:v>Vaor objectriu Màsters</c:v>
                </c:pt>
              </c:strCache>
            </c:strRef>
          </c:tx>
          <c:spPr>
            <a:ln w="34925" cap="rnd">
              <a:solidFill>
                <a:schemeClr val="accent2">
                  <a:lumMod val="8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>
                    <a:lumMod val="8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'PS5.04_Ind04'!$D$12:$H$12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'PS5.04_Ind04'!$D$36:$H$36</c:f>
              <c:numCache>
                <c:formatCode>0.00%</c:formatCode>
                <c:ptCount val="5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995-40D7-A64E-EF3144EA8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400656"/>
        <c:axId val="1550374464"/>
      </c:lineChart>
      <c:catAx>
        <c:axId val="169740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50374464"/>
        <c:crosses val="autoZero"/>
        <c:auto val="1"/>
        <c:lblAlgn val="ctr"/>
        <c:lblOffset val="100"/>
        <c:noMultiLvlLbl val="0"/>
      </c:catAx>
      <c:valAx>
        <c:axId val="15503744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69740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a-ES" sz="1200">
                <a:effectLst/>
              </a:rPr>
              <a:t>PS5.05_Ind01. Taxa d’eficàcia: percentatge de suggeriments i queixes respostes (15 dies hàbils</a:t>
            </a:r>
            <a:r>
              <a:rPr lang="ca-ES" sz="1800">
                <a:effectLst/>
              </a:rPr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'PS5.05_Ind01'!$B$16</c:f>
              <c:strCache>
                <c:ptCount val="1"/>
                <c:pt idx="0">
                  <c:v>9. Gràfic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'PS5.05_Ind01'!$D$11:$I$11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'PS5.05_Ind01'!$C$16:$E$16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41BF-4885-9D83-612036371862}"/>
            </c:ext>
          </c:extLst>
        </c:ser>
        <c:ser>
          <c:idx val="1"/>
          <c:order val="1"/>
          <c:tx>
            <c:strRef>
              <c:f>'PS5.05_Ind01'!$C$12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'PS5.05_Ind01'!$D$11:$I$11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'PS5.05_Ind01'!$D$12:$I$12</c:f>
              <c:numCache>
                <c:formatCode>0%</c:formatCode>
                <c:ptCount val="6"/>
                <c:pt idx="0">
                  <c:v>1</c:v>
                </c:pt>
                <c:pt idx="1">
                  <c:v>0.8</c:v>
                </c:pt>
                <c:pt idx="2">
                  <c:v>0.82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BF-4885-9D83-612036371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00471648"/>
        <c:axId val="1680304640"/>
      </c:barChart>
      <c:lineChart>
        <c:grouping val="standard"/>
        <c:varyColors val="0"/>
        <c:ser>
          <c:idx val="2"/>
          <c:order val="2"/>
          <c:tx>
            <c:strRef>
              <c:f>'PS5.05_Ind01'!$C$14</c:f>
              <c:strCache>
                <c:ptCount val="1"/>
                <c:pt idx="0">
                  <c:v>Valor objectiu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6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'PS5.05_Ind01'!$D$11:$H$11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'PS5.05_Ind01'!$D$14:$I$14</c:f>
              <c:numCache>
                <c:formatCode>0%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BF-4885-9D83-612036371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0471648"/>
        <c:axId val="1680304640"/>
      </c:lineChart>
      <c:catAx>
        <c:axId val="200047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680304640"/>
        <c:crosses val="autoZero"/>
        <c:auto val="1"/>
        <c:lblAlgn val="ctr"/>
        <c:lblOffset val="100"/>
        <c:noMultiLvlLbl val="0"/>
      </c:catAx>
      <c:valAx>
        <c:axId val="16803046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00047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a-ES" sz="1000" b="1">
                <a:effectLst/>
              </a:rPr>
              <a:t>PS5_05-Ind-02. Temps mitjà de resposta igual o inferior a 7,5 dies hàbils de les queixes i els suggeriments (termini màxim: 15 dies hàbils)</a:t>
            </a:r>
            <a:endParaRPr lang="ca-ES" sz="10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'PS5.05_Ind01'!$B$16</c:f>
              <c:strCache>
                <c:ptCount val="1"/>
                <c:pt idx="0">
                  <c:v>9. Gràfic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'PS5.05_Ind01'!$D$11:$I$11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'PS5.05_Ind01'!$D$11:$I$11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11-46CE-98FA-4F981551B434}"/>
            </c:ext>
          </c:extLst>
        </c:ser>
        <c:ser>
          <c:idx val="1"/>
          <c:order val="1"/>
          <c:tx>
            <c:strRef>
              <c:f>'PS5.05_Ind02'!$B$12</c:f>
              <c:strCache>
                <c:ptCount val="1"/>
                <c:pt idx="0">
                  <c:v>Temps mitjà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'PS5.05_Ind01'!$D$11:$I$11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'PS5.05_Ind02'!$C$12:$H$12</c:f>
              <c:numCache>
                <c:formatCode>General</c:formatCode>
                <c:ptCount val="6"/>
                <c:pt idx="0">
                  <c:v>11.19</c:v>
                </c:pt>
                <c:pt idx="1">
                  <c:v>8.0500000000000007</c:v>
                </c:pt>
                <c:pt idx="2">
                  <c:v>3.94</c:v>
                </c:pt>
                <c:pt idx="3">
                  <c:v>5.72</c:v>
                </c:pt>
                <c:pt idx="4">
                  <c:v>1</c:v>
                </c:pt>
                <c:pt idx="5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11-46CE-98FA-4F981551B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00471648"/>
        <c:axId val="1680304640"/>
      </c:barChart>
      <c:lineChart>
        <c:grouping val="standard"/>
        <c:varyColors val="0"/>
        <c:ser>
          <c:idx val="2"/>
          <c:order val="2"/>
          <c:tx>
            <c:strRef>
              <c:f>'PS5.05_Ind02'!$B$13</c:f>
              <c:strCache>
                <c:ptCount val="1"/>
                <c:pt idx="0">
                  <c:v>Valor objectiu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6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'PS5.05_Ind01'!$D$11:$H$11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'PS5.05_Ind02'!$C$13:$H$13</c:f>
              <c:numCache>
                <c:formatCode>General</c:formatCode>
                <c:ptCount val="6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11-46CE-98FA-4F981551B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0471648"/>
        <c:axId val="1680304640"/>
      </c:lineChart>
      <c:catAx>
        <c:axId val="200047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680304640"/>
        <c:crosses val="autoZero"/>
        <c:auto val="1"/>
        <c:lblAlgn val="ctr"/>
        <c:lblOffset val="100"/>
        <c:noMultiLvlLbl val="0"/>
      </c:catAx>
      <c:valAx>
        <c:axId val="1680304640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000471648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a-ES" sz="1000" b="1">
                <a:effectLst/>
              </a:rPr>
              <a:t>PS05_05-Ind-03. Valoració mitjana a la pregunta “He rebut resposta adequada a les meves queixes i suggeriments</a:t>
            </a:r>
            <a:r>
              <a:rPr lang="ca-ES" sz="1800" b="1">
                <a:effectLst/>
              </a:rPr>
              <a:t>”</a:t>
            </a:r>
            <a:endParaRPr lang="ca-ES" sz="18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'PS5.05_Ind03 '!$B$29</c:f>
              <c:strCache>
                <c:ptCount val="1"/>
                <c:pt idx="0">
                  <c:v>9. Gràfic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'PS5.05_Ind03 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'PS5.05_Ind03 '!$C$29:$E$29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0E05-4815-BB60-0356764533B8}"/>
            </c:ext>
          </c:extLst>
        </c:ser>
        <c:ser>
          <c:idx val="1"/>
          <c:order val="1"/>
          <c:tx>
            <c:strRef>
              <c:f>'PS5.05_Ind03 '!$B$13:$C$13</c:f>
              <c:strCache>
                <c:ptCount val="2"/>
                <c:pt idx="0">
                  <c:v>Ciències Ambientals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'PS5.05_Ind03 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'PS5.05_Ind03 '!$D$13:$H$13</c:f>
              <c:numCache>
                <c:formatCode>General</c:formatCode>
                <c:ptCount val="5"/>
                <c:pt idx="0">
                  <c:v>3.27</c:v>
                </c:pt>
                <c:pt idx="1">
                  <c:v>0</c:v>
                </c:pt>
                <c:pt idx="2">
                  <c:v>3.43</c:v>
                </c:pt>
                <c:pt idx="3">
                  <c:v>3.6</c:v>
                </c:pt>
                <c:pt idx="4">
                  <c:v>3.76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05-4815-BB60-0356764533B8}"/>
            </c:ext>
          </c:extLst>
        </c:ser>
        <c:ser>
          <c:idx val="2"/>
          <c:order val="2"/>
          <c:tx>
            <c:strRef>
              <c:f>'PS5.05_Ind03 '!$B$14:$C$14</c:f>
              <c:strCache>
                <c:ptCount val="2"/>
                <c:pt idx="0">
                  <c:v>Ciències Ambientals i Grau en Geologia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'PS5.05_Ind03 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'PS5.05_Ind03 '!$D$14:$H$14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3.2</c:v>
                </c:pt>
                <c:pt idx="3">
                  <c:v>3</c:v>
                </c:pt>
                <c:pt idx="4">
                  <c:v>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05-4815-BB60-0356764533B8}"/>
            </c:ext>
          </c:extLst>
        </c:ser>
        <c:ser>
          <c:idx val="3"/>
          <c:order val="3"/>
          <c:tx>
            <c:strRef>
              <c:f>'PS5.05_Ind03 '!$B$15:$C$15</c:f>
              <c:strCache>
                <c:ptCount val="2"/>
                <c:pt idx="0">
                  <c:v>Estadística Aplicada  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'PS5.05_Ind03 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'PS5.05_Ind03 '!$D$15:$H$15</c:f>
              <c:numCache>
                <c:formatCode>General</c:formatCode>
                <c:ptCount val="5"/>
                <c:pt idx="0">
                  <c:v>0</c:v>
                </c:pt>
                <c:pt idx="1">
                  <c:v>4</c:v>
                </c:pt>
                <c:pt idx="2">
                  <c:v>3.33</c:v>
                </c:pt>
                <c:pt idx="3">
                  <c:v>2</c:v>
                </c:pt>
                <c:pt idx="4">
                  <c:v>4.17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05-4815-BB60-0356764533B8}"/>
            </c:ext>
          </c:extLst>
        </c:ser>
        <c:ser>
          <c:idx val="4"/>
          <c:order val="4"/>
          <c:tx>
            <c:strRef>
              <c:f>'PS5.05_Ind03 '!$B$16:$C$16</c:f>
              <c:strCache>
                <c:ptCount val="2"/>
                <c:pt idx="0">
                  <c:v>Física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'PS5.05_Ind03 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'PS5.05_Ind03 '!$D$16:$H$16</c:f>
              <c:numCache>
                <c:formatCode>General</c:formatCode>
                <c:ptCount val="5"/>
                <c:pt idx="0">
                  <c:v>2.56</c:v>
                </c:pt>
                <c:pt idx="1">
                  <c:v>3.05</c:v>
                </c:pt>
                <c:pt idx="2">
                  <c:v>3.46</c:v>
                </c:pt>
                <c:pt idx="3">
                  <c:v>2.33</c:v>
                </c:pt>
                <c:pt idx="4">
                  <c:v>3.52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05-4815-BB60-0356764533B8}"/>
            </c:ext>
          </c:extLst>
        </c:ser>
        <c:ser>
          <c:idx val="5"/>
          <c:order val="5"/>
          <c:tx>
            <c:strRef>
              <c:f>'PS5.05_Ind03 '!$B$17:$C$17</c:f>
              <c:strCache>
                <c:ptCount val="2"/>
                <c:pt idx="0">
                  <c:v>Física i Matemàtiques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'PS5.05_Ind03 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'PS5.05_Ind03 '!$D$17:$H$17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3.56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05-4815-BB60-0356764533B8}"/>
            </c:ext>
          </c:extLst>
        </c:ser>
        <c:ser>
          <c:idx val="6"/>
          <c:order val="6"/>
          <c:tx>
            <c:strRef>
              <c:f>'PS5.05_Ind03 '!$B$18:$C$18</c:f>
              <c:strCache>
                <c:ptCount val="2"/>
                <c:pt idx="0">
                  <c:v>Física i Química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'PS5.05_Ind03 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'PS5.05_Ind03 '!$D$18:$H$18</c:f>
              <c:numCache>
                <c:formatCode>General</c:formatCode>
                <c:ptCount val="5"/>
                <c:pt idx="0">
                  <c:v>3.13</c:v>
                </c:pt>
                <c:pt idx="1">
                  <c:v>3</c:v>
                </c:pt>
                <c:pt idx="2">
                  <c:v>0</c:v>
                </c:pt>
                <c:pt idx="3">
                  <c:v>3.25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05-4815-BB60-0356764533B8}"/>
            </c:ext>
          </c:extLst>
        </c:ser>
        <c:ser>
          <c:idx val="7"/>
          <c:order val="7"/>
          <c:tx>
            <c:strRef>
              <c:f>'PS5.05_Ind03 '!$B$19:$C$19</c:f>
              <c:strCache>
                <c:ptCount val="2"/>
                <c:pt idx="0">
                  <c:v>Geologia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'PS5.05_Ind03 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'PS5.05_Ind03 '!$D$19:$H$19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05-4815-BB60-0356764533B8}"/>
            </c:ext>
          </c:extLst>
        </c:ser>
        <c:ser>
          <c:idx val="8"/>
          <c:order val="8"/>
          <c:tx>
            <c:strRef>
              <c:f>'PS5.05_Ind03 '!$B$20:$C$20</c:f>
              <c:strCache>
                <c:ptCount val="2"/>
                <c:pt idx="0">
                  <c:v>Matemàtiques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'PS5.05_Ind03 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'PS5.05_Ind03 '!$D$20:$H$20</c:f>
              <c:numCache>
                <c:formatCode>General</c:formatCode>
                <c:ptCount val="5"/>
                <c:pt idx="0">
                  <c:v>3.6</c:v>
                </c:pt>
                <c:pt idx="1">
                  <c:v>3.07</c:v>
                </c:pt>
                <c:pt idx="2">
                  <c:v>3</c:v>
                </c:pt>
                <c:pt idx="3">
                  <c:v>1.8</c:v>
                </c:pt>
                <c:pt idx="4">
                  <c:v>4.17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E05-4815-BB60-0356764533B8}"/>
            </c:ext>
          </c:extLst>
        </c:ser>
        <c:ser>
          <c:idx val="9"/>
          <c:order val="9"/>
          <c:tx>
            <c:strRef>
              <c:f>'PS5.05_Ind03 '!$B$21:$C$21</c:f>
              <c:strCache>
                <c:ptCount val="2"/>
                <c:pt idx="0">
                  <c:v>Matemàtica Computacional i Analítica de Dades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'PS5.05_Ind03 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'PS5.05_Ind03 '!$D$21:$H$21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E05-4815-BB60-0356764533B8}"/>
            </c:ext>
          </c:extLst>
        </c:ser>
        <c:ser>
          <c:idx val="10"/>
          <c:order val="10"/>
          <c:tx>
            <c:strRef>
              <c:f>'PS5.05_Ind03 '!$B$22:$C$22</c:f>
              <c:strCache>
                <c:ptCount val="2"/>
                <c:pt idx="0">
                  <c:v>Nanociència i Nanotecnologia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'PS5.05_Ind03 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'PS5.05_Ind03 '!$D$22:$H$22</c:f>
              <c:numCache>
                <c:formatCode>General</c:formatCode>
                <c:ptCount val="5"/>
                <c:pt idx="0">
                  <c:v>2.64</c:v>
                </c:pt>
                <c:pt idx="1">
                  <c:v>2.67</c:v>
                </c:pt>
                <c:pt idx="2">
                  <c:v>3</c:v>
                </c:pt>
                <c:pt idx="3">
                  <c:v>3</c:v>
                </c:pt>
                <c:pt idx="4">
                  <c:v>3.82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E05-4815-BB60-0356764533B8}"/>
            </c:ext>
          </c:extLst>
        </c:ser>
        <c:ser>
          <c:idx val="11"/>
          <c:order val="11"/>
          <c:tx>
            <c:strRef>
              <c:f>'PS5.05_Ind03 '!$B$23:$C$23</c:f>
              <c:strCache>
                <c:ptCount val="2"/>
                <c:pt idx="0">
                  <c:v>Química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'PS5.05_Ind03 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'PS5.05_Ind03 '!$D$23:$H$23</c:f>
              <c:numCache>
                <c:formatCode>General</c:formatCode>
                <c:ptCount val="5"/>
                <c:pt idx="0">
                  <c:v>2.71</c:v>
                </c:pt>
                <c:pt idx="1">
                  <c:v>2.85</c:v>
                </c:pt>
                <c:pt idx="2">
                  <c:v>2.58</c:v>
                </c:pt>
                <c:pt idx="3">
                  <c:v>3.25</c:v>
                </c:pt>
                <c:pt idx="4">
                  <c:v>3.58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E05-4815-BB60-035676453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17585008"/>
        <c:axId val="1425303376"/>
      </c:barChart>
      <c:lineChart>
        <c:grouping val="standard"/>
        <c:varyColors val="0"/>
        <c:ser>
          <c:idx val="12"/>
          <c:order val="12"/>
          <c:tx>
            <c:strRef>
              <c:f>'PS5.05_Ind03 '!$B$26:$C$26</c:f>
              <c:strCache>
                <c:ptCount val="2"/>
                <c:pt idx="0">
                  <c:v>Valor objectiu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>
                    <a:lumMod val="80000"/>
                    <a:lumOff val="2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'PS5.05_Ind03 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'PS5.05_Ind03 '!$D$26:$H$26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E05-4815-BB60-035676453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585008"/>
        <c:axId val="1425303376"/>
      </c:lineChart>
      <c:catAx>
        <c:axId val="161758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25303376"/>
        <c:crosses val="autoZero"/>
        <c:auto val="1"/>
        <c:lblAlgn val="ctr"/>
        <c:lblOffset val="100"/>
        <c:noMultiLvlLbl val="0"/>
      </c:catAx>
      <c:valAx>
        <c:axId val="1425303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617585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a-ES" sz="1200" b="1">
                <a:effectLst/>
              </a:rPr>
              <a:t>PS5.06_Ind02</a:t>
            </a:r>
            <a:r>
              <a:rPr lang="ca-ES" sz="1200">
                <a:effectLst/>
              </a:rPr>
              <a:t>. </a:t>
            </a:r>
            <a:r>
              <a:rPr lang="ca-ES" sz="1200" b="1">
                <a:effectLst/>
              </a:rPr>
              <a:t>Valoració mitjana a la pregunta: "La informació referent a la titulació al web és accessible i m’ha resultat útil".</a:t>
            </a:r>
            <a:endParaRPr lang="ca-E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'PS5.06_Ind01   '!$B$29</c:f>
              <c:strCache>
                <c:ptCount val="1"/>
                <c:pt idx="0">
                  <c:v>9. Gràfic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'PS5.06_Ind01   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'PS5.06_Ind01   '!$C$29:$E$29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2392-43AD-B635-30F8C6905D68}"/>
            </c:ext>
          </c:extLst>
        </c:ser>
        <c:ser>
          <c:idx val="1"/>
          <c:order val="1"/>
          <c:tx>
            <c:strRef>
              <c:f>'PS5.06_Ind01   '!$B$13:$C$13</c:f>
              <c:strCache>
                <c:ptCount val="2"/>
                <c:pt idx="0">
                  <c:v>Ciències Ambientals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'PS5.06_Ind01   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'PS5.06_Ind01   '!$D$13:$H$13</c:f>
              <c:numCache>
                <c:formatCode>General</c:formatCode>
                <c:ptCount val="5"/>
                <c:pt idx="0">
                  <c:v>3.73</c:v>
                </c:pt>
                <c:pt idx="1">
                  <c:v>0</c:v>
                </c:pt>
                <c:pt idx="2">
                  <c:v>3.75</c:v>
                </c:pt>
                <c:pt idx="3">
                  <c:v>4.2</c:v>
                </c:pt>
                <c:pt idx="4">
                  <c:v>3.53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92-43AD-B635-30F8C6905D68}"/>
            </c:ext>
          </c:extLst>
        </c:ser>
        <c:ser>
          <c:idx val="2"/>
          <c:order val="2"/>
          <c:tx>
            <c:strRef>
              <c:f>'PS5.06_Ind01   '!$B$14:$C$14</c:f>
              <c:strCache>
                <c:ptCount val="2"/>
                <c:pt idx="0">
                  <c:v>Ciències Ambientals i Grau en Geologia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'PS5.06_Ind01   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'PS5.06_Ind01   '!$D$14:$H$14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3.6</c:v>
                </c:pt>
                <c:pt idx="3">
                  <c:v>4</c:v>
                </c:pt>
                <c:pt idx="4">
                  <c:v>3.71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92-43AD-B635-30F8C6905D68}"/>
            </c:ext>
          </c:extLst>
        </c:ser>
        <c:ser>
          <c:idx val="3"/>
          <c:order val="3"/>
          <c:tx>
            <c:strRef>
              <c:f>'PS5.06_Ind01   '!$B$15:$C$15</c:f>
              <c:strCache>
                <c:ptCount val="2"/>
                <c:pt idx="0">
                  <c:v>Estadística Aplicada  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'PS5.06_Ind01   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'PS5.06_Ind01   '!$D$15:$H$15</c:f>
              <c:numCache>
                <c:formatCode>General</c:formatCode>
                <c:ptCount val="5"/>
                <c:pt idx="0">
                  <c:v>0</c:v>
                </c:pt>
                <c:pt idx="1">
                  <c:v>4</c:v>
                </c:pt>
                <c:pt idx="2">
                  <c:v>4.17</c:v>
                </c:pt>
                <c:pt idx="3">
                  <c:v>2</c:v>
                </c:pt>
                <c:pt idx="4">
                  <c:v>4.33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92-43AD-B635-30F8C6905D68}"/>
            </c:ext>
          </c:extLst>
        </c:ser>
        <c:ser>
          <c:idx val="4"/>
          <c:order val="4"/>
          <c:tx>
            <c:strRef>
              <c:f>'PS5.06_Ind01   '!$B$16:$C$16</c:f>
              <c:strCache>
                <c:ptCount val="2"/>
                <c:pt idx="0">
                  <c:v>Física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'PS5.06_Ind01   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'PS5.06_Ind01   '!$D$16:$H$16</c:f>
              <c:numCache>
                <c:formatCode>General</c:formatCode>
                <c:ptCount val="5"/>
                <c:pt idx="0">
                  <c:v>3.33</c:v>
                </c:pt>
                <c:pt idx="1">
                  <c:v>3.9</c:v>
                </c:pt>
                <c:pt idx="2">
                  <c:v>3.85</c:v>
                </c:pt>
                <c:pt idx="3">
                  <c:v>3</c:v>
                </c:pt>
                <c:pt idx="4">
                  <c:v>3.86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92-43AD-B635-30F8C6905D68}"/>
            </c:ext>
          </c:extLst>
        </c:ser>
        <c:ser>
          <c:idx val="5"/>
          <c:order val="5"/>
          <c:tx>
            <c:strRef>
              <c:f>'PS5.06_Ind01   '!$B$17:$C$17</c:f>
              <c:strCache>
                <c:ptCount val="2"/>
                <c:pt idx="0">
                  <c:v>Física i Matemàtiques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'PS5.06_Ind01   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'PS5.06_Ind01   '!$D$17:$H$17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4.1100000000000003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92-43AD-B635-30F8C6905D68}"/>
            </c:ext>
          </c:extLst>
        </c:ser>
        <c:ser>
          <c:idx val="6"/>
          <c:order val="6"/>
          <c:tx>
            <c:strRef>
              <c:f>'PS5.06_Ind01   '!$B$18:$C$18</c:f>
              <c:strCache>
                <c:ptCount val="2"/>
                <c:pt idx="0">
                  <c:v>Física i Química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'PS5.06_Ind01   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'PS5.06_Ind01   '!$D$18:$H$18</c:f>
              <c:numCache>
                <c:formatCode>General</c:formatCode>
                <c:ptCount val="5"/>
                <c:pt idx="0">
                  <c:v>3.5</c:v>
                </c:pt>
                <c:pt idx="1">
                  <c:v>4</c:v>
                </c:pt>
                <c:pt idx="2">
                  <c:v>0</c:v>
                </c:pt>
                <c:pt idx="3">
                  <c:v>3.5</c:v>
                </c:pt>
                <c:pt idx="4">
                  <c:v>3.88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92-43AD-B635-30F8C6905D68}"/>
            </c:ext>
          </c:extLst>
        </c:ser>
        <c:ser>
          <c:idx val="7"/>
          <c:order val="7"/>
          <c:tx>
            <c:strRef>
              <c:f>'PS5.06_Ind01   '!$B$19:$C$19</c:f>
              <c:strCache>
                <c:ptCount val="2"/>
                <c:pt idx="0">
                  <c:v>Geologia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'PS5.06_Ind01   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'PS5.06_Ind01   '!$D$19:$H$19</c:f>
              <c:numCache>
                <c:formatCode>General</c:formatCode>
                <c:ptCount val="5"/>
                <c:pt idx="0">
                  <c:v>3.4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392-43AD-B635-30F8C6905D68}"/>
            </c:ext>
          </c:extLst>
        </c:ser>
        <c:ser>
          <c:idx val="8"/>
          <c:order val="8"/>
          <c:tx>
            <c:strRef>
              <c:f>'PS5.06_Ind01   '!$B$20:$C$20</c:f>
              <c:strCache>
                <c:ptCount val="2"/>
                <c:pt idx="0">
                  <c:v>Matemàtica Computacional i Analítica de Dades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'PS5.06_Ind01   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'PS5.06_Ind01   '!$D$20:$H$20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392-43AD-B635-30F8C6905D68}"/>
            </c:ext>
          </c:extLst>
        </c:ser>
        <c:ser>
          <c:idx val="9"/>
          <c:order val="9"/>
          <c:tx>
            <c:strRef>
              <c:f>'PS5.06_Ind01   '!$B$21:$C$21</c:f>
              <c:strCache>
                <c:ptCount val="2"/>
                <c:pt idx="0">
                  <c:v>Matemàtiques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'PS5.06_Ind01   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'PS5.06_Ind01   '!$D$21:$H$21</c:f>
              <c:numCache>
                <c:formatCode>General</c:formatCode>
                <c:ptCount val="5"/>
                <c:pt idx="0">
                  <c:v>3.9</c:v>
                </c:pt>
                <c:pt idx="1">
                  <c:v>3.93</c:v>
                </c:pt>
                <c:pt idx="2">
                  <c:v>3</c:v>
                </c:pt>
                <c:pt idx="3">
                  <c:v>3.2</c:v>
                </c:pt>
                <c:pt idx="4">
                  <c:v>4.13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392-43AD-B635-30F8C6905D68}"/>
            </c:ext>
          </c:extLst>
        </c:ser>
        <c:ser>
          <c:idx val="10"/>
          <c:order val="10"/>
          <c:tx>
            <c:strRef>
              <c:f>'PS5.06_Ind01   '!$B$22:$C$22</c:f>
              <c:strCache>
                <c:ptCount val="2"/>
                <c:pt idx="0">
                  <c:v>Nanociència i Nanotecnologia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'PS5.06_Ind01   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'PS5.06_Ind01   '!$D$22:$H$22</c:f>
              <c:numCache>
                <c:formatCode>General</c:formatCode>
                <c:ptCount val="5"/>
                <c:pt idx="0">
                  <c:v>3.64</c:v>
                </c:pt>
                <c:pt idx="1">
                  <c:v>3.67</c:v>
                </c:pt>
                <c:pt idx="2">
                  <c:v>3</c:v>
                </c:pt>
                <c:pt idx="3">
                  <c:v>3.5</c:v>
                </c:pt>
                <c:pt idx="4">
                  <c:v>3.91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392-43AD-B635-30F8C6905D68}"/>
            </c:ext>
          </c:extLst>
        </c:ser>
        <c:ser>
          <c:idx val="11"/>
          <c:order val="11"/>
          <c:tx>
            <c:strRef>
              <c:f>'PS5.06_Ind01   '!$B$23:$C$23</c:f>
              <c:strCache>
                <c:ptCount val="2"/>
                <c:pt idx="0">
                  <c:v>Química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'PS5.06_Ind01   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'PS5.06_Ind01   '!$D$23:$H$23</c:f>
              <c:numCache>
                <c:formatCode>General</c:formatCode>
                <c:ptCount val="5"/>
                <c:pt idx="0">
                  <c:v>3.32</c:v>
                </c:pt>
                <c:pt idx="1">
                  <c:v>3.63</c:v>
                </c:pt>
                <c:pt idx="2">
                  <c:v>2.58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392-43AD-B635-30F8C6905D68}"/>
            </c:ext>
          </c:extLst>
        </c:ser>
        <c:ser>
          <c:idx val="12"/>
          <c:order val="12"/>
          <c:tx>
            <c:strRef>
              <c:f>'PS5.06_Ind01   '!$B$26:$C$26</c:f>
              <c:strCache>
                <c:ptCount val="2"/>
                <c:pt idx="0">
                  <c:v>Valor objectiu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'PS5.06_Ind01   '!$D$12:$H$12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'PS5.06_Ind01   '!$D$26:$H$26</c:f>
              <c:numCache>
                <c:formatCode>0.00</c:formatCode>
                <c:ptCount val="5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392-43AD-B635-30F8C6905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953499264"/>
        <c:axId val="1823809024"/>
      </c:barChart>
      <c:catAx>
        <c:axId val="195349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823809024"/>
        <c:crosses val="autoZero"/>
        <c:auto val="1"/>
        <c:lblAlgn val="ctr"/>
        <c:lblOffset val="100"/>
        <c:noMultiLvlLbl val="0"/>
      </c:catAx>
      <c:valAx>
        <c:axId val="182380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953499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image" Target="../media/image2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image" Target="../media/image2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image" Target="../media/image2.pn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image" Target="../media/image2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image" Target="../media/image2.pn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image" Target="../media/image2.png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image" Target="../media/image2.png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image" Target="../media/image2.png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image" Target="../media/image2.png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image" Target="../media/image2.png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image" Target="../media/image2.png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image" Target="../media/image2.png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image" Target="../media/image2.png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image" Target="../media/image2.png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0.xml"/><Relationship Id="rId1" Type="http://schemas.openxmlformats.org/officeDocument/2006/relationships/image" Target="../media/image2.png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image" Target="../media/image2.png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2.xml"/><Relationship Id="rId1" Type="http://schemas.openxmlformats.org/officeDocument/2006/relationships/image" Target="../media/image2.png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image" Target="../media/image2.png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4.xml"/><Relationship Id="rId1" Type="http://schemas.openxmlformats.org/officeDocument/2006/relationships/image" Target="../media/image2.png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image" Target="../media/image2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2" Type="http://schemas.openxmlformats.org/officeDocument/2006/relationships/image" Target="../media/image2.png"/><Relationship Id="rId1" Type="http://schemas.openxmlformats.org/officeDocument/2006/relationships/chart" Target="../charts/chart66.xml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8.xml"/><Relationship Id="rId1" Type="http://schemas.openxmlformats.org/officeDocument/2006/relationships/image" Target="../media/image2.png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image" Target="../media/image2.png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0.xml"/><Relationship Id="rId1" Type="http://schemas.openxmlformats.org/officeDocument/2006/relationships/image" Target="../media/image2.png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image" Target="../media/image2.png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2.xml"/><Relationship Id="rId1" Type="http://schemas.openxmlformats.org/officeDocument/2006/relationships/image" Target="../media/image2.png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image" Target="../media/image2.png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4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662517</xdr:colOff>
      <xdr:row>1</xdr:row>
      <xdr:rowOff>97367</xdr:rowOff>
    </xdr:from>
    <xdr:to>
      <xdr:col>2</xdr:col>
      <xdr:colOff>1308100</xdr:colOff>
      <xdr:row>3</xdr:row>
      <xdr:rowOff>216614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1F9B21A1-7ED3-1EA8-D56A-DBC24605D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117" y="192617"/>
          <a:ext cx="2055283" cy="6907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16</xdr:row>
      <xdr:rowOff>190500</xdr:rowOff>
    </xdr:from>
    <xdr:ext cx="5105400" cy="2619375"/>
    <xdr:graphicFrame macro="">
      <xdr:nvGraphicFramePr>
        <xdr:cNvPr id="6" name="Chart 1" title="Gràfic">
          <a:extLst>
            <a:ext uri="{FF2B5EF4-FFF2-40B4-BE49-F238E27FC236}">
              <a16:creationId xmlns:a16="http://schemas.microsoft.com/office/drawing/2014/main" id="{A95C1F0D-DC28-4061-902F-F7FBC21A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 editAs="oneCell">
    <xdr:from>
      <xdr:col>1</xdr:col>
      <xdr:colOff>142875</xdr:colOff>
      <xdr:row>1</xdr:row>
      <xdr:rowOff>152400</xdr:rowOff>
    </xdr:from>
    <xdr:to>
      <xdr:col>2</xdr:col>
      <xdr:colOff>379303</xdr:colOff>
      <xdr:row>1</xdr:row>
      <xdr:rowOff>558800</xdr:rowOff>
    </xdr:to>
    <xdr:pic>
      <xdr:nvPicPr>
        <xdr:cNvPr id="3" name="Imatge 4">
          <a:extLst>
            <a:ext uri="{FF2B5EF4-FFF2-40B4-BE49-F238E27FC236}">
              <a16:creationId xmlns:a16="http://schemas.microsoft.com/office/drawing/2014/main" id="{F8023D67-3841-4116-9E10-B1FA99A34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438150"/>
          <a:ext cx="1179403" cy="406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1</xdr:row>
      <xdr:rowOff>152400</xdr:rowOff>
    </xdr:from>
    <xdr:to>
      <xdr:col>3</xdr:col>
      <xdr:colOff>45928</xdr:colOff>
      <xdr:row>1</xdr:row>
      <xdr:rowOff>558800</xdr:rowOff>
    </xdr:to>
    <xdr:pic>
      <xdr:nvPicPr>
        <xdr:cNvPr id="2" name="Imatge 4">
          <a:extLst>
            <a:ext uri="{FF2B5EF4-FFF2-40B4-BE49-F238E27FC236}">
              <a16:creationId xmlns:a16="http://schemas.microsoft.com/office/drawing/2014/main" id="{2B53C3C3-90A6-4C7C-8DA3-DAF5061FA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438150"/>
          <a:ext cx="1179403" cy="406400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17</xdr:row>
      <xdr:rowOff>133350</xdr:rowOff>
    </xdr:from>
    <xdr:to>
      <xdr:col>6</xdr:col>
      <xdr:colOff>257175</xdr:colOff>
      <xdr:row>27</xdr:row>
      <xdr:rowOff>228600</xdr:rowOff>
    </xdr:to>
    <xdr:graphicFrame macro="">
      <xdr:nvGraphicFramePr>
        <xdr:cNvPr id="4" name="Gràfic 3">
          <a:extLst>
            <a:ext uri="{FF2B5EF4-FFF2-40B4-BE49-F238E27FC236}">
              <a16:creationId xmlns:a16="http://schemas.microsoft.com/office/drawing/2014/main" id="{A86228C5-3A54-EA7C-A799-287704EB58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142875</xdr:rowOff>
    </xdr:from>
    <xdr:to>
      <xdr:col>2</xdr:col>
      <xdr:colOff>84028</xdr:colOff>
      <xdr:row>1</xdr:row>
      <xdr:rowOff>692150</xdr:rowOff>
    </xdr:to>
    <xdr:pic>
      <xdr:nvPicPr>
        <xdr:cNvPr id="2" name="Imatge 4">
          <a:extLst>
            <a:ext uri="{FF2B5EF4-FFF2-40B4-BE49-F238E27FC236}">
              <a16:creationId xmlns:a16="http://schemas.microsoft.com/office/drawing/2014/main" id="{5912D444-91DB-42E7-9459-8C75118EB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314325"/>
          <a:ext cx="1179403" cy="549275"/>
        </a:xfrm>
        <a:prstGeom prst="rect">
          <a:avLst/>
        </a:prstGeom>
      </xdr:spPr>
    </xdr:pic>
    <xdr:clientData/>
  </xdr:twoCellAnchor>
  <xdr:twoCellAnchor>
    <xdr:from>
      <xdr:col>0</xdr:col>
      <xdr:colOff>128587</xdr:colOff>
      <xdr:row>18</xdr:row>
      <xdr:rowOff>9525</xdr:rowOff>
    </xdr:from>
    <xdr:to>
      <xdr:col>7</xdr:col>
      <xdr:colOff>433387</xdr:colOff>
      <xdr:row>35</xdr:row>
      <xdr:rowOff>0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id="{50B6246B-ED79-4678-A29A-4266A4F998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1</xdr:row>
      <xdr:rowOff>152400</xdr:rowOff>
    </xdr:from>
    <xdr:to>
      <xdr:col>3</xdr:col>
      <xdr:colOff>45928</xdr:colOff>
      <xdr:row>1</xdr:row>
      <xdr:rowOff>558800</xdr:rowOff>
    </xdr:to>
    <xdr:pic>
      <xdr:nvPicPr>
        <xdr:cNvPr id="2" name="Imatge 4">
          <a:extLst>
            <a:ext uri="{FF2B5EF4-FFF2-40B4-BE49-F238E27FC236}">
              <a16:creationId xmlns:a16="http://schemas.microsoft.com/office/drawing/2014/main" id="{4E4E3681-DCE4-4FA1-8675-D8724309B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438150"/>
          <a:ext cx="1179403" cy="406400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17</xdr:row>
      <xdr:rowOff>133350</xdr:rowOff>
    </xdr:from>
    <xdr:to>
      <xdr:col>6</xdr:col>
      <xdr:colOff>257175</xdr:colOff>
      <xdr:row>27</xdr:row>
      <xdr:rowOff>228600</xdr:rowOff>
    </xdr:to>
    <xdr:graphicFrame macro="">
      <xdr:nvGraphicFramePr>
        <xdr:cNvPr id="9" name="Gràfic 2">
          <a:extLst>
            <a:ext uri="{FF2B5EF4-FFF2-40B4-BE49-F238E27FC236}">
              <a16:creationId xmlns:a16="http://schemas.microsoft.com/office/drawing/2014/main" id="{B0F1907F-A71E-4599-AE18-5350F0934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1</xdr:row>
      <xdr:rowOff>152400</xdr:rowOff>
    </xdr:from>
    <xdr:to>
      <xdr:col>3</xdr:col>
      <xdr:colOff>45928</xdr:colOff>
      <xdr:row>1</xdr:row>
      <xdr:rowOff>558800</xdr:rowOff>
    </xdr:to>
    <xdr:pic>
      <xdr:nvPicPr>
        <xdr:cNvPr id="2" name="Imatge 4">
          <a:extLst>
            <a:ext uri="{FF2B5EF4-FFF2-40B4-BE49-F238E27FC236}">
              <a16:creationId xmlns:a16="http://schemas.microsoft.com/office/drawing/2014/main" id="{DD786E30-64CB-4FE6-98CE-C682D0414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438150"/>
          <a:ext cx="1179403" cy="406400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17</xdr:row>
      <xdr:rowOff>133350</xdr:rowOff>
    </xdr:from>
    <xdr:to>
      <xdr:col>6</xdr:col>
      <xdr:colOff>257175</xdr:colOff>
      <xdr:row>27</xdr:row>
      <xdr:rowOff>228600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id="{B98EF74D-A702-4D6A-A2D3-F4A82AE606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46700</xdr:rowOff>
    </xdr:from>
    <xdr:to>
      <xdr:col>2</xdr:col>
      <xdr:colOff>438150</xdr:colOff>
      <xdr:row>1</xdr:row>
      <xdr:rowOff>530225</xdr:rowOff>
    </xdr:to>
    <xdr:pic>
      <xdr:nvPicPr>
        <xdr:cNvPr id="2" name="Imatge 4">
          <a:extLst>
            <a:ext uri="{FF2B5EF4-FFF2-40B4-BE49-F238E27FC236}">
              <a16:creationId xmlns:a16="http://schemas.microsoft.com/office/drawing/2014/main" id="{C9DB6E31-D46C-4D85-A60A-6F668FE7A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208625"/>
          <a:ext cx="1038225" cy="483525"/>
        </a:xfrm>
        <a:prstGeom prst="rect">
          <a:avLst/>
        </a:prstGeom>
      </xdr:spPr>
    </xdr:pic>
    <xdr:clientData/>
  </xdr:twoCellAnchor>
  <xdr:twoCellAnchor>
    <xdr:from>
      <xdr:col>0</xdr:col>
      <xdr:colOff>242887</xdr:colOff>
      <xdr:row>19</xdr:row>
      <xdr:rowOff>76200</xdr:rowOff>
    </xdr:from>
    <xdr:to>
      <xdr:col>5</xdr:col>
      <xdr:colOff>623887</xdr:colOff>
      <xdr:row>36</xdr:row>
      <xdr:rowOff>66675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id="{F918DBE9-8B41-21D6-CE9D-0375321C90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46700</xdr:rowOff>
    </xdr:from>
    <xdr:to>
      <xdr:col>2</xdr:col>
      <xdr:colOff>438150</xdr:colOff>
      <xdr:row>1</xdr:row>
      <xdr:rowOff>530225</xdr:rowOff>
    </xdr:to>
    <xdr:pic>
      <xdr:nvPicPr>
        <xdr:cNvPr id="2" name="Imatge 4">
          <a:extLst>
            <a:ext uri="{FF2B5EF4-FFF2-40B4-BE49-F238E27FC236}">
              <a16:creationId xmlns:a16="http://schemas.microsoft.com/office/drawing/2014/main" id="{9B00F496-8F3C-4B26-921C-442D6979C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218150"/>
          <a:ext cx="1038225" cy="483525"/>
        </a:xfrm>
        <a:prstGeom prst="rect">
          <a:avLst/>
        </a:prstGeom>
      </xdr:spPr>
    </xdr:pic>
    <xdr:clientData/>
  </xdr:twoCellAnchor>
  <xdr:twoCellAnchor>
    <xdr:from>
      <xdr:col>0</xdr:col>
      <xdr:colOff>242887</xdr:colOff>
      <xdr:row>19</xdr:row>
      <xdr:rowOff>76200</xdr:rowOff>
    </xdr:from>
    <xdr:to>
      <xdr:col>5</xdr:col>
      <xdr:colOff>623887</xdr:colOff>
      <xdr:row>36</xdr:row>
      <xdr:rowOff>66675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id="{00094665-584B-4A2F-8241-7EF4C64F47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152400</xdr:rowOff>
    </xdr:from>
    <xdr:to>
      <xdr:col>2</xdr:col>
      <xdr:colOff>379303</xdr:colOff>
      <xdr:row>1</xdr:row>
      <xdr:rowOff>558800</xdr:rowOff>
    </xdr:to>
    <xdr:pic>
      <xdr:nvPicPr>
        <xdr:cNvPr id="3" name="Imatge 4">
          <a:extLst>
            <a:ext uri="{FF2B5EF4-FFF2-40B4-BE49-F238E27FC236}">
              <a16:creationId xmlns:a16="http://schemas.microsoft.com/office/drawing/2014/main" id="{1D40490F-C579-4870-A0B5-B90A33BA0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438150"/>
          <a:ext cx="1179403" cy="4064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29</xdr:row>
      <xdr:rowOff>200024</xdr:rowOff>
    </xdr:from>
    <xdr:to>
      <xdr:col>9</xdr:col>
      <xdr:colOff>2000250</xdr:colOff>
      <xdr:row>53</xdr:row>
      <xdr:rowOff>171450</xdr:rowOff>
    </xdr:to>
    <xdr:graphicFrame macro="">
      <xdr:nvGraphicFramePr>
        <xdr:cNvPr id="4" name="Gràfic 3">
          <a:extLst>
            <a:ext uri="{FF2B5EF4-FFF2-40B4-BE49-F238E27FC236}">
              <a16:creationId xmlns:a16="http://schemas.microsoft.com/office/drawing/2014/main" id="{72F0C260-AB2D-B9F8-12F2-728CDCB16E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161925</xdr:rowOff>
    </xdr:from>
    <xdr:to>
      <xdr:col>2</xdr:col>
      <xdr:colOff>369778</xdr:colOff>
      <xdr:row>1</xdr:row>
      <xdr:rowOff>568325</xdr:rowOff>
    </xdr:to>
    <xdr:pic>
      <xdr:nvPicPr>
        <xdr:cNvPr id="4" name="Imatge 4">
          <a:extLst>
            <a:ext uri="{FF2B5EF4-FFF2-40B4-BE49-F238E27FC236}">
              <a16:creationId xmlns:a16="http://schemas.microsoft.com/office/drawing/2014/main" id="{FC465136-FDC4-4887-B42B-6BEE18A1C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447675"/>
          <a:ext cx="1179403" cy="406400"/>
        </a:xfrm>
        <a:prstGeom prst="rect">
          <a:avLst/>
        </a:prstGeom>
      </xdr:spPr>
    </xdr:pic>
    <xdr:clientData/>
  </xdr:twoCellAnchor>
  <xdr:twoCellAnchor>
    <xdr:from>
      <xdr:col>0</xdr:col>
      <xdr:colOff>138111</xdr:colOff>
      <xdr:row>29</xdr:row>
      <xdr:rowOff>219074</xdr:rowOff>
    </xdr:from>
    <xdr:to>
      <xdr:col>13</xdr:col>
      <xdr:colOff>257175</xdr:colOff>
      <xdr:row>51</xdr:row>
      <xdr:rowOff>152400</xdr:rowOff>
    </xdr:to>
    <xdr:graphicFrame macro="">
      <xdr:nvGraphicFramePr>
        <xdr:cNvPr id="7" name="Gràfic 6">
          <a:extLst>
            <a:ext uri="{FF2B5EF4-FFF2-40B4-BE49-F238E27FC236}">
              <a16:creationId xmlns:a16="http://schemas.microsoft.com/office/drawing/2014/main" id="{D46A2FCC-582C-004C-B89A-A3F667ABA4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142875</xdr:rowOff>
    </xdr:from>
    <xdr:to>
      <xdr:col>2</xdr:col>
      <xdr:colOff>350728</xdr:colOff>
      <xdr:row>1</xdr:row>
      <xdr:rowOff>549275</xdr:rowOff>
    </xdr:to>
    <xdr:pic>
      <xdr:nvPicPr>
        <xdr:cNvPr id="4" name="Imatge 4">
          <a:extLst>
            <a:ext uri="{FF2B5EF4-FFF2-40B4-BE49-F238E27FC236}">
              <a16:creationId xmlns:a16="http://schemas.microsoft.com/office/drawing/2014/main" id="{252132DB-67A9-4056-8E30-A0324B1A6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428625"/>
          <a:ext cx="1179403" cy="406400"/>
        </a:xfrm>
        <a:prstGeom prst="rect">
          <a:avLst/>
        </a:prstGeom>
      </xdr:spPr>
    </xdr:pic>
    <xdr:clientData/>
  </xdr:twoCellAnchor>
  <xdr:twoCellAnchor>
    <xdr:from>
      <xdr:col>0</xdr:col>
      <xdr:colOff>176212</xdr:colOff>
      <xdr:row>25</xdr:row>
      <xdr:rowOff>142875</xdr:rowOff>
    </xdr:from>
    <xdr:to>
      <xdr:col>9</xdr:col>
      <xdr:colOff>647700</xdr:colOff>
      <xdr:row>41</xdr:row>
      <xdr:rowOff>180975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F687B0C2-79D5-182D-2DAE-34DBC7B14E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142875</xdr:rowOff>
    </xdr:from>
    <xdr:to>
      <xdr:col>2</xdr:col>
      <xdr:colOff>350728</xdr:colOff>
      <xdr:row>1</xdr:row>
      <xdr:rowOff>549275</xdr:rowOff>
    </xdr:to>
    <xdr:pic>
      <xdr:nvPicPr>
        <xdr:cNvPr id="2" name="Imatge 4">
          <a:extLst>
            <a:ext uri="{FF2B5EF4-FFF2-40B4-BE49-F238E27FC236}">
              <a16:creationId xmlns:a16="http://schemas.microsoft.com/office/drawing/2014/main" id="{9E342F8A-5111-4A34-887F-806C88C90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428625"/>
          <a:ext cx="1179403" cy="406400"/>
        </a:xfrm>
        <a:prstGeom prst="rect">
          <a:avLst/>
        </a:prstGeom>
      </xdr:spPr>
    </xdr:pic>
    <xdr:clientData/>
  </xdr:twoCellAnchor>
  <xdr:twoCellAnchor>
    <xdr:from>
      <xdr:col>0</xdr:col>
      <xdr:colOff>171449</xdr:colOff>
      <xdr:row>36</xdr:row>
      <xdr:rowOff>57149</xdr:rowOff>
    </xdr:from>
    <xdr:to>
      <xdr:col>11</xdr:col>
      <xdr:colOff>209550</xdr:colOff>
      <xdr:row>59</xdr:row>
      <xdr:rowOff>190500</xdr:rowOff>
    </xdr:to>
    <xdr:graphicFrame macro="">
      <xdr:nvGraphicFramePr>
        <xdr:cNvPr id="4" name="Gràfic 3">
          <a:extLst>
            <a:ext uri="{FF2B5EF4-FFF2-40B4-BE49-F238E27FC236}">
              <a16:creationId xmlns:a16="http://schemas.microsoft.com/office/drawing/2014/main" id="{483C5C5B-391C-C60B-4F13-0FF70A3A55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142875</xdr:colOff>
      <xdr:row>36</xdr:row>
      <xdr:rowOff>200025</xdr:rowOff>
    </xdr:from>
    <xdr:to>
      <xdr:col>21</xdr:col>
      <xdr:colOff>342900</xdr:colOff>
      <xdr:row>48</xdr:row>
      <xdr:rowOff>104775</xdr:rowOff>
    </xdr:to>
    <xdr:graphicFrame macro="">
      <xdr:nvGraphicFramePr>
        <xdr:cNvPr id="5" name="Gràfic 4">
          <a:extLst>
            <a:ext uri="{FF2B5EF4-FFF2-40B4-BE49-F238E27FC236}">
              <a16:creationId xmlns:a16="http://schemas.microsoft.com/office/drawing/2014/main" id="{41017DBB-FFA2-6992-5274-1D1D602D50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676275</xdr:colOff>
      <xdr:row>1</xdr:row>
      <xdr:rowOff>133350</xdr:rowOff>
    </xdr:from>
    <xdr:to>
      <xdr:col>2</xdr:col>
      <xdr:colOff>398353</xdr:colOff>
      <xdr:row>1</xdr:row>
      <xdr:rowOff>539750</xdr:rowOff>
    </xdr:to>
    <xdr:pic>
      <xdr:nvPicPr>
        <xdr:cNvPr id="2" name="Imatge 4">
          <a:extLst>
            <a:ext uri="{FF2B5EF4-FFF2-40B4-BE49-F238E27FC236}">
              <a16:creationId xmlns:a16="http://schemas.microsoft.com/office/drawing/2014/main" id="{23F4F908-C304-4DAA-B5A5-8B77B6651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419100"/>
          <a:ext cx="1179403" cy="406400"/>
        </a:xfrm>
        <a:prstGeom prst="rect">
          <a:avLst/>
        </a:prstGeom>
      </xdr:spPr>
    </xdr:pic>
    <xdr:clientData/>
  </xdr:twoCellAnchor>
  <xdr:twoCellAnchor>
    <xdr:from>
      <xdr:col>1</xdr:col>
      <xdr:colOff>171449</xdr:colOff>
      <xdr:row>19</xdr:row>
      <xdr:rowOff>152401</xdr:rowOff>
    </xdr:from>
    <xdr:to>
      <xdr:col>8</xdr:col>
      <xdr:colOff>209549</xdr:colOff>
      <xdr:row>32</xdr:row>
      <xdr:rowOff>161925</xdr:rowOff>
    </xdr:to>
    <xdr:graphicFrame macro="">
      <xdr:nvGraphicFramePr>
        <xdr:cNvPr id="6" name="Gràfic 2">
          <a:extLst>
            <a:ext uri="{FF2B5EF4-FFF2-40B4-BE49-F238E27FC236}">
              <a16:creationId xmlns:a16="http://schemas.microsoft.com/office/drawing/2014/main" id="{78BCA6CC-8DBE-32F7-A843-B72A8529B0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676275</xdr:colOff>
      <xdr:row>1</xdr:row>
      <xdr:rowOff>133350</xdr:rowOff>
    </xdr:from>
    <xdr:to>
      <xdr:col>3</xdr:col>
      <xdr:colOff>74503</xdr:colOff>
      <xdr:row>1</xdr:row>
      <xdr:rowOff>539750</xdr:rowOff>
    </xdr:to>
    <xdr:pic>
      <xdr:nvPicPr>
        <xdr:cNvPr id="2" name="Imatge 4">
          <a:extLst>
            <a:ext uri="{FF2B5EF4-FFF2-40B4-BE49-F238E27FC236}">
              <a16:creationId xmlns:a16="http://schemas.microsoft.com/office/drawing/2014/main" id="{DD684796-23BE-4DA3-B973-8BE02559C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419100"/>
          <a:ext cx="1179403" cy="406400"/>
        </a:xfrm>
        <a:prstGeom prst="rect">
          <a:avLst/>
        </a:prstGeom>
      </xdr:spPr>
    </xdr:pic>
    <xdr:clientData/>
  </xdr:twoCellAnchor>
  <xdr:twoCellAnchor>
    <xdr:from>
      <xdr:col>1</xdr:col>
      <xdr:colOff>171449</xdr:colOff>
      <xdr:row>19</xdr:row>
      <xdr:rowOff>152401</xdr:rowOff>
    </xdr:from>
    <xdr:to>
      <xdr:col>8</xdr:col>
      <xdr:colOff>209549</xdr:colOff>
      <xdr:row>32</xdr:row>
      <xdr:rowOff>161925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id="{A9BEE5C6-9B40-42D4-9C6C-EE71C62042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676275</xdr:colOff>
      <xdr:row>1</xdr:row>
      <xdr:rowOff>133350</xdr:rowOff>
    </xdr:from>
    <xdr:to>
      <xdr:col>3</xdr:col>
      <xdr:colOff>74503</xdr:colOff>
      <xdr:row>1</xdr:row>
      <xdr:rowOff>539750</xdr:rowOff>
    </xdr:to>
    <xdr:pic>
      <xdr:nvPicPr>
        <xdr:cNvPr id="2" name="Imatge 4">
          <a:extLst>
            <a:ext uri="{FF2B5EF4-FFF2-40B4-BE49-F238E27FC236}">
              <a16:creationId xmlns:a16="http://schemas.microsoft.com/office/drawing/2014/main" id="{B1AE8C25-4F7B-4A43-80B5-E7B631266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419100"/>
          <a:ext cx="1179403" cy="406400"/>
        </a:xfrm>
        <a:prstGeom prst="rect">
          <a:avLst/>
        </a:prstGeom>
      </xdr:spPr>
    </xdr:pic>
    <xdr:clientData/>
  </xdr:twoCellAnchor>
  <xdr:twoCellAnchor>
    <xdr:from>
      <xdr:col>1</xdr:col>
      <xdr:colOff>171449</xdr:colOff>
      <xdr:row>19</xdr:row>
      <xdr:rowOff>152401</xdr:rowOff>
    </xdr:from>
    <xdr:to>
      <xdr:col>8</xdr:col>
      <xdr:colOff>209549</xdr:colOff>
      <xdr:row>32</xdr:row>
      <xdr:rowOff>161925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id="{57CCA154-F72C-45D1-9FB5-AA87CA6A48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33</xdr:row>
      <xdr:rowOff>161925</xdr:rowOff>
    </xdr:from>
    <xdr:ext cx="4295775" cy="2714625"/>
    <xdr:graphicFrame macro="">
      <xdr:nvGraphicFramePr>
        <xdr:cNvPr id="3" name="Chart 1" title="Gràfic">
          <a:extLst>
            <a:ext uri="{FF2B5EF4-FFF2-40B4-BE49-F238E27FC236}">
              <a16:creationId xmlns:a16="http://schemas.microsoft.com/office/drawing/2014/main" id="{743BB1B5-E436-4C6D-8243-2AB81CFCB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 editAs="oneCell">
    <xdr:from>
      <xdr:col>1</xdr:col>
      <xdr:colOff>123825</xdr:colOff>
      <xdr:row>1</xdr:row>
      <xdr:rowOff>142875</xdr:rowOff>
    </xdr:from>
    <xdr:to>
      <xdr:col>2</xdr:col>
      <xdr:colOff>360253</xdr:colOff>
      <xdr:row>1</xdr:row>
      <xdr:rowOff>549275</xdr:rowOff>
    </xdr:to>
    <xdr:pic>
      <xdr:nvPicPr>
        <xdr:cNvPr id="4" name="Imatge 4">
          <a:extLst>
            <a:ext uri="{FF2B5EF4-FFF2-40B4-BE49-F238E27FC236}">
              <a16:creationId xmlns:a16="http://schemas.microsoft.com/office/drawing/2014/main" id="{2991625A-27C7-4A9B-A4F9-03EF33EA6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28625"/>
          <a:ext cx="1179403" cy="4064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133350</xdr:rowOff>
    </xdr:from>
    <xdr:to>
      <xdr:col>2</xdr:col>
      <xdr:colOff>388828</xdr:colOff>
      <xdr:row>1</xdr:row>
      <xdr:rowOff>539750</xdr:rowOff>
    </xdr:to>
    <xdr:pic>
      <xdr:nvPicPr>
        <xdr:cNvPr id="5" name="Imatge 4">
          <a:extLst>
            <a:ext uri="{FF2B5EF4-FFF2-40B4-BE49-F238E27FC236}">
              <a16:creationId xmlns:a16="http://schemas.microsoft.com/office/drawing/2014/main" id="{F0FCDE74-0F23-4140-BDC5-A615F52D4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419100"/>
          <a:ext cx="1179403" cy="406400"/>
        </a:xfrm>
        <a:prstGeom prst="rect">
          <a:avLst/>
        </a:prstGeom>
      </xdr:spPr>
    </xdr:pic>
    <xdr:clientData/>
  </xdr:twoCellAnchor>
  <xdr:twoCellAnchor>
    <xdr:from>
      <xdr:col>1</xdr:col>
      <xdr:colOff>28574</xdr:colOff>
      <xdr:row>36</xdr:row>
      <xdr:rowOff>276224</xdr:rowOff>
    </xdr:from>
    <xdr:to>
      <xdr:col>9</xdr:col>
      <xdr:colOff>1466850</xdr:colOff>
      <xdr:row>57</xdr:row>
      <xdr:rowOff>219075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4431746C-12A2-DD13-DDD2-C701F3ECA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142875</xdr:rowOff>
    </xdr:from>
    <xdr:to>
      <xdr:col>2</xdr:col>
      <xdr:colOff>379303</xdr:colOff>
      <xdr:row>1</xdr:row>
      <xdr:rowOff>549275</xdr:rowOff>
    </xdr:to>
    <xdr:pic>
      <xdr:nvPicPr>
        <xdr:cNvPr id="4" name="Imatge 4">
          <a:extLst>
            <a:ext uri="{FF2B5EF4-FFF2-40B4-BE49-F238E27FC236}">
              <a16:creationId xmlns:a16="http://schemas.microsoft.com/office/drawing/2014/main" id="{803A302C-E2CE-4854-ADEF-384F5F799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428625"/>
          <a:ext cx="1179403" cy="406400"/>
        </a:xfrm>
        <a:prstGeom prst="rect">
          <a:avLst/>
        </a:prstGeom>
      </xdr:spPr>
    </xdr:pic>
    <xdr:clientData/>
  </xdr:twoCellAnchor>
  <xdr:twoCellAnchor>
    <xdr:from>
      <xdr:col>0</xdr:col>
      <xdr:colOff>195262</xdr:colOff>
      <xdr:row>26</xdr:row>
      <xdr:rowOff>228600</xdr:rowOff>
    </xdr:from>
    <xdr:to>
      <xdr:col>9</xdr:col>
      <xdr:colOff>990600</xdr:colOff>
      <xdr:row>44</xdr:row>
      <xdr:rowOff>114300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0F0FFE1F-7098-BB6B-04EA-3557A1364B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695325</xdr:colOff>
      <xdr:row>1</xdr:row>
      <xdr:rowOff>180975</xdr:rowOff>
    </xdr:from>
    <xdr:to>
      <xdr:col>3</xdr:col>
      <xdr:colOff>93553</xdr:colOff>
      <xdr:row>1</xdr:row>
      <xdr:rowOff>587375</xdr:rowOff>
    </xdr:to>
    <xdr:pic>
      <xdr:nvPicPr>
        <xdr:cNvPr id="4" name="Imatge 4">
          <a:extLst>
            <a:ext uri="{FF2B5EF4-FFF2-40B4-BE49-F238E27FC236}">
              <a16:creationId xmlns:a16="http://schemas.microsoft.com/office/drawing/2014/main" id="{ADB11C4E-1860-4771-854C-FDB81F07C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" y="466725"/>
          <a:ext cx="1179403" cy="406400"/>
        </a:xfrm>
        <a:prstGeom prst="rect">
          <a:avLst/>
        </a:prstGeom>
      </xdr:spPr>
    </xdr:pic>
    <xdr:clientData/>
  </xdr:twoCellAnchor>
  <xdr:twoCellAnchor>
    <xdr:from>
      <xdr:col>1</xdr:col>
      <xdr:colOff>1175</xdr:colOff>
      <xdr:row>25</xdr:row>
      <xdr:rowOff>284513</xdr:rowOff>
    </xdr:from>
    <xdr:to>
      <xdr:col>9</xdr:col>
      <xdr:colOff>766948</xdr:colOff>
      <xdr:row>45</xdr:row>
      <xdr:rowOff>38099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92E2EB89-B4DF-4CD0-1FFE-4589E2E7B9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</xdr:row>
      <xdr:rowOff>180975</xdr:rowOff>
    </xdr:from>
    <xdr:to>
      <xdr:col>1</xdr:col>
      <xdr:colOff>569803</xdr:colOff>
      <xdr:row>1</xdr:row>
      <xdr:rowOff>711200</xdr:rowOff>
    </xdr:to>
    <xdr:pic>
      <xdr:nvPicPr>
        <xdr:cNvPr id="4" name="Imatge 4">
          <a:extLst>
            <a:ext uri="{FF2B5EF4-FFF2-40B4-BE49-F238E27FC236}">
              <a16:creationId xmlns:a16="http://schemas.microsoft.com/office/drawing/2014/main" id="{197A825A-836C-42EF-87AC-B436D7F03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" y="466725"/>
          <a:ext cx="1179403" cy="406400"/>
        </a:xfrm>
        <a:prstGeom prst="rect">
          <a:avLst/>
        </a:prstGeom>
      </xdr:spPr>
    </xdr:pic>
    <xdr:clientData/>
  </xdr:twoCellAnchor>
  <xdr:twoCellAnchor>
    <xdr:from>
      <xdr:col>0</xdr:col>
      <xdr:colOff>157161</xdr:colOff>
      <xdr:row>26</xdr:row>
      <xdr:rowOff>180974</xdr:rowOff>
    </xdr:from>
    <xdr:to>
      <xdr:col>6</xdr:col>
      <xdr:colOff>495299</xdr:colOff>
      <xdr:row>62</xdr:row>
      <xdr:rowOff>9524</xdr:rowOff>
    </xdr:to>
    <xdr:graphicFrame macro="">
      <xdr:nvGraphicFramePr>
        <xdr:cNvPr id="5" name="Gràfic 4">
          <a:extLst>
            <a:ext uri="{FF2B5EF4-FFF2-40B4-BE49-F238E27FC236}">
              <a16:creationId xmlns:a16="http://schemas.microsoft.com/office/drawing/2014/main" id="{1C903D61-8FDD-760D-B289-60C8D36A2C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142875</xdr:rowOff>
    </xdr:from>
    <xdr:to>
      <xdr:col>2</xdr:col>
      <xdr:colOff>379303</xdr:colOff>
      <xdr:row>1</xdr:row>
      <xdr:rowOff>549275</xdr:rowOff>
    </xdr:to>
    <xdr:pic>
      <xdr:nvPicPr>
        <xdr:cNvPr id="4" name="Imatge 4">
          <a:extLst>
            <a:ext uri="{FF2B5EF4-FFF2-40B4-BE49-F238E27FC236}">
              <a16:creationId xmlns:a16="http://schemas.microsoft.com/office/drawing/2014/main" id="{69BE03BA-FAE1-4A6B-B3A8-B64D97967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428625"/>
          <a:ext cx="1179403" cy="406400"/>
        </a:xfrm>
        <a:prstGeom prst="rect">
          <a:avLst/>
        </a:prstGeom>
      </xdr:spPr>
    </xdr:pic>
    <xdr:clientData/>
  </xdr:twoCellAnchor>
  <xdr:twoCellAnchor>
    <xdr:from>
      <xdr:col>0</xdr:col>
      <xdr:colOff>80962</xdr:colOff>
      <xdr:row>19</xdr:row>
      <xdr:rowOff>247649</xdr:rowOff>
    </xdr:from>
    <xdr:to>
      <xdr:col>8</xdr:col>
      <xdr:colOff>190500</xdr:colOff>
      <xdr:row>42</xdr:row>
      <xdr:rowOff>9524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1890833F-4765-B2DE-59CF-D6790CB631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133350</xdr:rowOff>
    </xdr:from>
    <xdr:to>
      <xdr:col>2</xdr:col>
      <xdr:colOff>388828</xdr:colOff>
      <xdr:row>1</xdr:row>
      <xdr:rowOff>539750</xdr:rowOff>
    </xdr:to>
    <xdr:pic>
      <xdr:nvPicPr>
        <xdr:cNvPr id="3" name="Imatge 4">
          <a:extLst>
            <a:ext uri="{FF2B5EF4-FFF2-40B4-BE49-F238E27FC236}">
              <a16:creationId xmlns:a16="http://schemas.microsoft.com/office/drawing/2014/main" id="{E755540A-E1BB-4668-A4D5-8469D3792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419100"/>
          <a:ext cx="1179403" cy="406400"/>
        </a:xfrm>
        <a:prstGeom prst="rect">
          <a:avLst/>
        </a:prstGeom>
      </xdr:spPr>
    </xdr:pic>
    <xdr:clientData/>
  </xdr:twoCellAnchor>
  <xdr:twoCellAnchor>
    <xdr:from>
      <xdr:col>1</xdr:col>
      <xdr:colOff>4761</xdr:colOff>
      <xdr:row>27</xdr:row>
      <xdr:rowOff>200024</xdr:rowOff>
    </xdr:from>
    <xdr:to>
      <xdr:col>7</xdr:col>
      <xdr:colOff>333374</xdr:colOff>
      <xdr:row>41</xdr:row>
      <xdr:rowOff>152399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B103AFBD-4A26-E3B0-27DA-3D86E5A2E0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142875</xdr:rowOff>
    </xdr:from>
    <xdr:to>
      <xdr:col>2</xdr:col>
      <xdr:colOff>369778</xdr:colOff>
      <xdr:row>1</xdr:row>
      <xdr:rowOff>549275</xdr:rowOff>
    </xdr:to>
    <xdr:pic>
      <xdr:nvPicPr>
        <xdr:cNvPr id="4" name="Imatge 4">
          <a:extLst>
            <a:ext uri="{FF2B5EF4-FFF2-40B4-BE49-F238E27FC236}">
              <a16:creationId xmlns:a16="http://schemas.microsoft.com/office/drawing/2014/main" id="{BACF25D6-BBCF-42FB-A5F2-F79C8F1C7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428625"/>
          <a:ext cx="1179403" cy="406400"/>
        </a:xfrm>
        <a:prstGeom prst="rect">
          <a:avLst/>
        </a:prstGeom>
      </xdr:spPr>
    </xdr:pic>
    <xdr:clientData/>
  </xdr:twoCellAnchor>
  <xdr:twoCellAnchor>
    <xdr:from>
      <xdr:col>0</xdr:col>
      <xdr:colOff>147636</xdr:colOff>
      <xdr:row>29</xdr:row>
      <xdr:rowOff>171450</xdr:rowOff>
    </xdr:from>
    <xdr:to>
      <xdr:col>8</xdr:col>
      <xdr:colOff>781049</xdr:colOff>
      <xdr:row>47</xdr:row>
      <xdr:rowOff>76200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AE91A4D4-76A6-ADAE-D114-4E59134F1A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142875</xdr:rowOff>
    </xdr:from>
    <xdr:to>
      <xdr:col>2</xdr:col>
      <xdr:colOff>379303</xdr:colOff>
      <xdr:row>1</xdr:row>
      <xdr:rowOff>549275</xdr:rowOff>
    </xdr:to>
    <xdr:pic>
      <xdr:nvPicPr>
        <xdr:cNvPr id="3" name="Imatge 4">
          <a:extLst>
            <a:ext uri="{FF2B5EF4-FFF2-40B4-BE49-F238E27FC236}">
              <a16:creationId xmlns:a16="http://schemas.microsoft.com/office/drawing/2014/main" id="{F60A9E43-5428-441E-843C-6921A4355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428625"/>
          <a:ext cx="1179403" cy="406400"/>
        </a:xfrm>
        <a:prstGeom prst="rect">
          <a:avLst/>
        </a:prstGeom>
      </xdr:spPr>
    </xdr:pic>
    <xdr:clientData/>
  </xdr:twoCellAnchor>
  <xdr:twoCellAnchor>
    <xdr:from>
      <xdr:col>1</xdr:col>
      <xdr:colOff>14286</xdr:colOff>
      <xdr:row>38</xdr:row>
      <xdr:rowOff>152399</xdr:rowOff>
    </xdr:from>
    <xdr:to>
      <xdr:col>19</xdr:col>
      <xdr:colOff>219075</xdr:colOff>
      <xdr:row>61</xdr:row>
      <xdr:rowOff>152400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D330D07F-0E7F-873A-9497-9F13A72519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142875</xdr:rowOff>
    </xdr:from>
    <xdr:to>
      <xdr:col>2</xdr:col>
      <xdr:colOff>360253</xdr:colOff>
      <xdr:row>1</xdr:row>
      <xdr:rowOff>549275</xdr:rowOff>
    </xdr:to>
    <xdr:pic>
      <xdr:nvPicPr>
        <xdr:cNvPr id="4" name="Imatge 4">
          <a:extLst>
            <a:ext uri="{FF2B5EF4-FFF2-40B4-BE49-F238E27FC236}">
              <a16:creationId xmlns:a16="http://schemas.microsoft.com/office/drawing/2014/main" id="{B836D88B-EE60-4AE2-89BF-279DB105D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28625"/>
          <a:ext cx="1179403" cy="4064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36</xdr:row>
      <xdr:rowOff>0</xdr:rowOff>
    </xdr:from>
    <xdr:to>
      <xdr:col>8</xdr:col>
      <xdr:colOff>100013</xdr:colOff>
      <xdr:row>55</xdr:row>
      <xdr:rowOff>66675</xdr:rowOff>
    </xdr:to>
    <xdr:graphicFrame macro="">
      <xdr:nvGraphicFramePr>
        <xdr:cNvPr id="5" name="Gràfic 4">
          <a:extLst>
            <a:ext uri="{FF2B5EF4-FFF2-40B4-BE49-F238E27FC236}">
              <a16:creationId xmlns:a16="http://schemas.microsoft.com/office/drawing/2014/main" id="{E05573DA-B6B7-4971-B564-1C7B644B4D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133350</xdr:rowOff>
    </xdr:from>
    <xdr:to>
      <xdr:col>2</xdr:col>
      <xdr:colOff>369778</xdr:colOff>
      <xdr:row>1</xdr:row>
      <xdr:rowOff>539750</xdr:rowOff>
    </xdr:to>
    <xdr:pic>
      <xdr:nvPicPr>
        <xdr:cNvPr id="4" name="Imatge 4">
          <a:extLst>
            <a:ext uri="{FF2B5EF4-FFF2-40B4-BE49-F238E27FC236}">
              <a16:creationId xmlns:a16="http://schemas.microsoft.com/office/drawing/2014/main" id="{2B0ACC86-85FF-40FF-B324-9DE45EC3E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419100"/>
          <a:ext cx="1179403" cy="406400"/>
        </a:xfrm>
        <a:prstGeom prst="rect">
          <a:avLst/>
        </a:prstGeom>
      </xdr:spPr>
    </xdr:pic>
    <xdr:clientData/>
  </xdr:twoCellAnchor>
  <xdr:twoCellAnchor>
    <xdr:from>
      <xdr:col>1</xdr:col>
      <xdr:colOff>14287</xdr:colOff>
      <xdr:row>35</xdr:row>
      <xdr:rowOff>219074</xdr:rowOff>
    </xdr:from>
    <xdr:to>
      <xdr:col>9</xdr:col>
      <xdr:colOff>133350</xdr:colOff>
      <xdr:row>63</xdr:row>
      <xdr:rowOff>114299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CFC797B1-F3D2-1B30-FA61-CB1ECE74C4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142875</xdr:rowOff>
    </xdr:from>
    <xdr:to>
      <xdr:col>2</xdr:col>
      <xdr:colOff>379303</xdr:colOff>
      <xdr:row>1</xdr:row>
      <xdr:rowOff>549275</xdr:rowOff>
    </xdr:to>
    <xdr:pic>
      <xdr:nvPicPr>
        <xdr:cNvPr id="4" name="Imatge 4">
          <a:extLst>
            <a:ext uri="{FF2B5EF4-FFF2-40B4-BE49-F238E27FC236}">
              <a16:creationId xmlns:a16="http://schemas.microsoft.com/office/drawing/2014/main" id="{0552F4A1-1DF2-4A44-A86E-9FD5D34D7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428625"/>
          <a:ext cx="1179403" cy="406400"/>
        </a:xfrm>
        <a:prstGeom prst="rect">
          <a:avLst/>
        </a:prstGeom>
      </xdr:spPr>
    </xdr:pic>
    <xdr:clientData/>
  </xdr:twoCellAnchor>
  <xdr:twoCellAnchor>
    <xdr:from>
      <xdr:col>0</xdr:col>
      <xdr:colOff>185736</xdr:colOff>
      <xdr:row>35</xdr:row>
      <xdr:rowOff>228599</xdr:rowOff>
    </xdr:from>
    <xdr:to>
      <xdr:col>9</xdr:col>
      <xdr:colOff>1771650</xdr:colOff>
      <xdr:row>56</xdr:row>
      <xdr:rowOff>238125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897AB7DA-5C56-E749-B45F-3DA6F4A31E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142875</xdr:rowOff>
    </xdr:from>
    <xdr:to>
      <xdr:col>2</xdr:col>
      <xdr:colOff>379303</xdr:colOff>
      <xdr:row>1</xdr:row>
      <xdr:rowOff>549275</xdr:rowOff>
    </xdr:to>
    <xdr:pic>
      <xdr:nvPicPr>
        <xdr:cNvPr id="4" name="Imatge 4">
          <a:extLst>
            <a:ext uri="{FF2B5EF4-FFF2-40B4-BE49-F238E27FC236}">
              <a16:creationId xmlns:a16="http://schemas.microsoft.com/office/drawing/2014/main" id="{8BB21690-5645-4B15-8E14-63CB3CC8F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428625"/>
          <a:ext cx="1179403" cy="406400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32</xdr:row>
      <xdr:rowOff>276225</xdr:rowOff>
    </xdr:from>
    <xdr:to>
      <xdr:col>5</xdr:col>
      <xdr:colOff>819150</xdr:colOff>
      <xdr:row>44</xdr:row>
      <xdr:rowOff>180975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D816CF83-B900-01BE-140E-83BC6C35DE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142875</xdr:rowOff>
    </xdr:from>
    <xdr:to>
      <xdr:col>2</xdr:col>
      <xdr:colOff>369778</xdr:colOff>
      <xdr:row>1</xdr:row>
      <xdr:rowOff>549275</xdr:rowOff>
    </xdr:to>
    <xdr:pic>
      <xdr:nvPicPr>
        <xdr:cNvPr id="3" name="Imatge 4">
          <a:extLst>
            <a:ext uri="{FF2B5EF4-FFF2-40B4-BE49-F238E27FC236}">
              <a16:creationId xmlns:a16="http://schemas.microsoft.com/office/drawing/2014/main" id="{8A45E295-F6E7-4D17-B3FF-CE4CED5B4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428625"/>
          <a:ext cx="1179403" cy="406400"/>
        </a:xfrm>
        <a:prstGeom prst="rect">
          <a:avLst/>
        </a:prstGeom>
      </xdr:spPr>
    </xdr:pic>
    <xdr:clientData/>
  </xdr:twoCellAnchor>
  <xdr:twoCellAnchor>
    <xdr:from>
      <xdr:col>1</xdr:col>
      <xdr:colOff>61911</xdr:colOff>
      <xdr:row>29</xdr:row>
      <xdr:rowOff>123825</xdr:rowOff>
    </xdr:from>
    <xdr:to>
      <xdr:col>8</xdr:col>
      <xdr:colOff>695324</xdr:colOff>
      <xdr:row>42</xdr:row>
      <xdr:rowOff>104775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3A527272-C1D0-EA4E-B4E0-FAA273961D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152400</xdr:rowOff>
    </xdr:from>
    <xdr:to>
      <xdr:col>2</xdr:col>
      <xdr:colOff>379303</xdr:colOff>
      <xdr:row>1</xdr:row>
      <xdr:rowOff>558800</xdr:rowOff>
    </xdr:to>
    <xdr:pic>
      <xdr:nvPicPr>
        <xdr:cNvPr id="4" name="Imatge 4">
          <a:extLst>
            <a:ext uri="{FF2B5EF4-FFF2-40B4-BE49-F238E27FC236}">
              <a16:creationId xmlns:a16="http://schemas.microsoft.com/office/drawing/2014/main" id="{B8A9E27F-BE25-4F47-91D1-A72985AF4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438150"/>
          <a:ext cx="1179403" cy="406400"/>
        </a:xfrm>
        <a:prstGeom prst="rect">
          <a:avLst/>
        </a:prstGeom>
      </xdr:spPr>
    </xdr:pic>
    <xdr:clientData/>
  </xdr:twoCellAnchor>
  <xdr:twoCellAnchor>
    <xdr:from>
      <xdr:col>1</xdr:col>
      <xdr:colOff>71437</xdr:colOff>
      <xdr:row>31</xdr:row>
      <xdr:rowOff>85725</xdr:rowOff>
    </xdr:from>
    <xdr:to>
      <xdr:col>8</xdr:col>
      <xdr:colOff>581025</xdr:colOff>
      <xdr:row>44</xdr:row>
      <xdr:rowOff>123825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id="{DB086642-D764-A150-27CE-18B4E46D14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133350</xdr:rowOff>
    </xdr:from>
    <xdr:to>
      <xdr:col>2</xdr:col>
      <xdr:colOff>350728</xdr:colOff>
      <xdr:row>1</xdr:row>
      <xdr:rowOff>539750</xdr:rowOff>
    </xdr:to>
    <xdr:pic>
      <xdr:nvPicPr>
        <xdr:cNvPr id="3" name="Imatge 4">
          <a:extLst>
            <a:ext uri="{FF2B5EF4-FFF2-40B4-BE49-F238E27FC236}">
              <a16:creationId xmlns:a16="http://schemas.microsoft.com/office/drawing/2014/main" id="{4C763A89-8264-4EDA-8771-F0CFA82C1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419100"/>
          <a:ext cx="1179403" cy="406400"/>
        </a:xfrm>
        <a:prstGeom prst="rect">
          <a:avLst/>
        </a:prstGeom>
      </xdr:spPr>
    </xdr:pic>
    <xdr:clientData/>
  </xdr:twoCellAnchor>
  <xdr:twoCellAnchor>
    <xdr:from>
      <xdr:col>1</xdr:col>
      <xdr:colOff>166687</xdr:colOff>
      <xdr:row>26</xdr:row>
      <xdr:rowOff>85725</xdr:rowOff>
    </xdr:from>
    <xdr:to>
      <xdr:col>6</xdr:col>
      <xdr:colOff>128587</xdr:colOff>
      <xdr:row>30</xdr:row>
      <xdr:rowOff>409575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A42DBCB0-ACD9-9429-DBC4-BCA1B018BF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142875</xdr:rowOff>
    </xdr:from>
    <xdr:to>
      <xdr:col>2</xdr:col>
      <xdr:colOff>379303</xdr:colOff>
      <xdr:row>1</xdr:row>
      <xdr:rowOff>549275</xdr:rowOff>
    </xdr:to>
    <xdr:pic>
      <xdr:nvPicPr>
        <xdr:cNvPr id="4" name="Imatge 4">
          <a:extLst>
            <a:ext uri="{FF2B5EF4-FFF2-40B4-BE49-F238E27FC236}">
              <a16:creationId xmlns:a16="http://schemas.microsoft.com/office/drawing/2014/main" id="{BB97EF65-6461-4455-AC82-0D9DDD104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428625"/>
          <a:ext cx="1179403" cy="4064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8</xdr:col>
      <xdr:colOff>547688</xdr:colOff>
      <xdr:row>47</xdr:row>
      <xdr:rowOff>133350</xdr:rowOff>
    </xdr:to>
    <xdr:graphicFrame macro="">
      <xdr:nvGraphicFramePr>
        <xdr:cNvPr id="5" name="Gràfic 4">
          <a:extLst>
            <a:ext uri="{FF2B5EF4-FFF2-40B4-BE49-F238E27FC236}">
              <a16:creationId xmlns:a16="http://schemas.microsoft.com/office/drawing/2014/main" id="{53050C13-3B5C-4CB2-B1F5-A53449F13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142875</xdr:rowOff>
    </xdr:from>
    <xdr:to>
      <xdr:col>2</xdr:col>
      <xdr:colOff>379303</xdr:colOff>
      <xdr:row>1</xdr:row>
      <xdr:rowOff>549275</xdr:rowOff>
    </xdr:to>
    <xdr:pic>
      <xdr:nvPicPr>
        <xdr:cNvPr id="2" name="Imatge 4">
          <a:extLst>
            <a:ext uri="{FF2B5EF4-FFF2-40B4-BE49-F238E27FC236}">
              <a16:creationId xmlns:a16="http://schemas.microsoft.com/office/drawing/2014/main" id="{F313495B-D966-4E28-AAF7-B5ED25CA3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428625"/>
          <a:ext cx="1179403" cy="406400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21</xdr:row>
      <xdr:rowOff>57150</xdr:rowOff>
    </xdr:from>
    <xdr:to>
      <xdr:col>8</xdr:col>
      <xdr:colOff>395288</xdr:colOff>
      <xdr:row>39</xdr:row>
      <xdr:rowOff>57150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id="{C8ED143E-BAE7-4E56-9449-5066B3BA7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142875</xdr:rowOff>
    </xdr:from>
    <xdr:to>
      <xdr:col>2</xdr:col>
      <xdr:colOff>360253</xdr:colOff>
      <xdr:row>1</xdr:row>
      <xdr:rowOff>549275</xdr:rowOff>
    </xdr:to>
    <xdr:pic>
      <xdr:nvPicPr>
        <xdr:cNvPr id="4" name="Imatge 4">
          <a:extLst>
            <a:ext uri="{FF2B5EF4-FFF2-40B4-BE49-F238E27FC236}">
              <a16:creationId xmlns:a16="http://schemas.microsoft.com/office/drawing/2014/main" id="{EB6D0BB9-C86B-438D-90B0-032554A38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28625"/>
          <a:ext cx="1179403" cy="406400"/>
        </a:xfrm>
        <a:prstGeom prst="rect">
          <a:avLst/>
        </a:prstGeom>
      </xdr:spPr>
    </xdr:pic>
    <xdr:clientData/>
  </xdr:twoCellAnchor>
  <xdr:twoCellAnchor>
    <xdr:from>
      <xdr:col>1</xdr:col>
      <xdr:colOff>14287</xdr:colOff>
      <xdr:row>30</xdr:row>
      <xdr:rowOff>171450</xdr:rowOff>
    </xdr:from>
    <xdr:to>
      <xdr:col>9</xdr:col>
      <xdr:colOff>200025</xdr:colOff>
      <xdr:row>46</xdr:row>
      <xdr:rowOff>209550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0E6818E3-0C34-F6AF-6D68-90B28B928A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152400</xdr:rowOff>
    </xdr:from>
    <xdr:to>
      <xdr:col>2</xdr:col>
      <xdr:colOff>360253</xdr:colOff>
      <xdr:row>1</xdr:row>
      <xdr:rowOff>558800</xdr:rowOff>
    </xdr:to>
    <xdr:pic>
      <xdr:nvPicPr>
        <xdr:cNvPr id="3" name="Imatge 4">
          <a:extLst>
            <a:ext uri="{FF2B5EF4-FFF2-40B4-BE49-F238E27FC236}">
              <a16:creationId xmlns:a16="http://schemas.microsoft.com/office/drawing/2014/main" id="{D79B1454-3B78-42B9-B8E3-6E065724D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38150"/>
          <a:ext cx="1179403" cy="4064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</xdr:row>
      <xdr:rowOff>0</xdr:rowOff>
    </xdr:from>
    <xdr:to>
      <xdr:col>5</xdr:col>
      <xdr:colOff>799599</xdr:colOff>
      <xdr:row>44</xdr:row>
      <xdr:rowOff>109287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D08A473B-8864-416D-B1EF-8371711CF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142875</xdr:rowOff>
    </xdr:from>
    <xdr:to>
      <xdr:col>2</xdr:col>
      <xdr:colOff>360253</xdr:colOff>
      <xdr:row>1</xdr:row>
      <xdr:rowOff>549275</xdr:rowOff>
    </xdr:to>
    <xdr:pic>
      <xdr:nvPicPr>
        <xdr:cNvPr id="4" name="Imatge 4">
          <a:extLst>
            <a:ext uri="{FF2B5EF4-FFF2-40B4-BE49-F238E27FC236}">
              <a16:creationId xmlns:a16="http://schemas.microsoft.com/office/drawing/2014/main" id="{9CDF5DBB-1C5F-4A90-B0CF-7D81EB4F6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28625"/>
          <a:ext cx="1179403" cy="406400"/>
        </a:xfrm>
        <a:prstGeom prst="rect">
          <a:avLst/>
        </a:prstGeom>
      </xdr:spPr>
    </xdr:pic>
    <xdr:clientData/>
  </xdr:twoCellAnchor>
  <xdr:twoCellAnchor>
    <xdr:from>
      <xdr:col>0</xdr:col>
      <xdr:colOff>4761</xdr:colOff>
      <xdr:row>32</xdr:row>
      <xdr:rowOff>161923</xdr:rowOff>
    </xdr:from>
    <xdr:to>
      <xdr:col>11</xdr:col>
      <xdr:colOff>419100</xdr:colOff>
      <xdr:row>60</xdr:row>
      <xdr:rowOff>0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169EA437-5F95-5DB2-8756-692D3BE774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152400</xdr:rowOff>
    </xdr:from>
    <xdr:to>
      <xdr:col>1</xdr:col>
      <xdr:colOff>360252</xdr:colOff>
      <xdr:row>1</xdr:row>
      <xdr:rowOff>558800</xdr:rowOff>
    </xdr:to>
    <xdr:pic>
      <xdr:nvPicPr>
        <xdr:cNvPr id="2" name="Imatge 4">
          <a:extLst>
            <a:ext uri="{FF2B5EF4-FFF2-40B4-BE49-F238E27FC236}">
              <a16:creationId xmlns:a16="http://schemas.microsoft.com/office/drawing/2014/main" id="{5F9BBFCC-10FD-4B4B-AB6D-988D5B2BA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438150"/>
          <a:ext cx="1179403" cy="406400"/>
        </a:xfrm>
        <a:prstGeom prst="rect">
          <a:avLst/>
        </a:prstGeom>
      </xdr:spPr>
    </xdr:pic>
    <xdr:clientData/>
  </xdr:twoCellAnchor>
  <xdr:twoCellAnchor>
    <xdr:from>
      <xdr:col>0</xdr:col>
      <xdr:colOff>320842</xdr:colOff>
      <xdr:row>64</xdr:row>
      <xdr:rowOff>250657</xdr:rowOff>
    </xdr:from>
    <xdr:to>
      <xdr:col>5</xdr:col>
      <xdr:colOff>278231</xdr:colOff>
      <xdr:row>76</xdr:row>
      <xdr:rowOff>19049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id="{F668F06B-AF2F-4DA6-A13F-B1D26FD4F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152400</xdr:rowOff>
    </xdr:from>
    <xdr:to>
      <xdr:col>1</xdr:col>
      <xdr:colOff>360252</xdr:colOff>
      <xdr:row>1</xdr:row>
      <xdr:rowOff>558800</xdr:rowOff>
    </xdr:to>
    <xdr:pic>
      <xdr:nvPicPr>
        <xdr:cNvPr id="2" name="Imatge 4">
          <a:extLst>
            <a:ext uri="{FF2B5EF4-FFF2-40B4-BE49-F238E27FC236}">
              <a16:creationId xmlns:a16="http://schemas.microsoft.com/office/drawing/2014/main" id="{695FCD47-7ADC-4F6F-8384-C960C4DED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438150"/>
          <a:ext cx="1179402" cy="406400"/>
        </a:xfrm>
        <a:prstGeom prst="rect">
          <a:avLst/>
        </a:prstGeom>
      </xdr:spPr>
    </xdr:pic>
    <xdr:clientData/>
  </xdr:twoCellAnchor>
  <xdr:twoCellAnchor>
    <xdr:from>
      <xdr:col>0</xdr:col>
      <xdr:colOff>441157</xdr:colOff>
      <xdr:row>23</xdr:row>
      <xdr:rowOff>190499</xdr:rowOff>
    </xdr:from>
    <xdr:to>
      <xdr:col>5</xdr:col>
      <xdr:colOff>398546</xdr:colOff>
      <xdr:row>34</xdr:row>
      <xdr:rowOff>209549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id="{B6BBDD7A-8962-49E1-98DD-97FC76CBF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152400</xdr:rowOff>
    </xdr:from>
    <xdr:to>
      <xdr:col>1</xdr:col>
      <xdr:colOff>360252</xdr:colOff>
      <xdr:row>1</xdr:row>
      <xdr:rowOff>558800</xdr:rowOff>
    </xdr:to>
    <xdr:pic>
      <xdr:nvPicPr>
        <xdr:cNvPr id="2" name="Imatge 4">
          <a:extLst>
            <a:ext uri="{FF2B5EF4-FFF2-40B4-BE49-F238E27FC236}">
              <a16:creationId xmlns:a16="http://schemas.microsoft.com/office/drawing/2014/main" id="{CD2C361D-6B21-4148-A4CC-A1CE09577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438150"/>
          <a:ext cx="1179402" cy="406400"/>
        </a:xfrm>
        <a:prstGeom prst="rect">
          <a:avLst/>
        </a:prstGeom>
      </xdr:spPr>
    </xdr:pic>
    <xdr:clientData/>
  </xdr:twoCellAnchor>
  <xdr:twoCellAnchor>
    <xdr:from>
      <xdr:col>0</xdr:col>
      <xdr:colOff>441157</xdr:colOff>
      <xdr:row>27</xdr:row>
      <xdr:rowOff>190499</xdr:rowOff>
    </xdr:from>
    <xdr:to>
      <xdr:col>5</xdr:col>
      <xdr:colOff>398546</xdr:colOff>
      <xdr:row>38</xdr:row>
      <xdr:rowOff>209549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id="{24BC4B56-35B3-4FF4-97CF-8E68FF6DF1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123825</xdr:rowOff>
    </xdr:from>
    <xdr:to>
      <xdr:col>2</xdr:col>
      <xdr:colOff>360253</xdr:colOff>
      <xdr:row>1</xdr:row>
      <xdr:rowOff>530225</xdr:rowOff>
    </xdr:to>
    <xdr:pic>
      <xdr:nvPicPr>
        <xdr:cNvPr id="4" name="Imatge 4">
          <a:extLst>
            <a:ext uri="{FF2B5EF4-FFF2-40B4-BE49-F238E27FC236}">
              <a16:creationId xmlns:a16="http://schemas.microsoft.com/office/drawing/2014/main" id="{104DF905-7204-4B06-947F-A87216CA6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09575"/>
          <a:ext cx="1179403" cy="406400"/>
        </a:xfrm>
        <a:prstGeom prst="rect">
          <a:avLst/>
        </a:prstGeom>
      </xdr:spPr>
    </xdr:pic>
    <xdr:clientData/>
  </xdr:twoCellAnchor>
  <xdr:twoCellAnchor>
    <xdr:from>
      <xdr:col>0</xdr:col>
      <xdr:colOff>219074</xdr:colOff>
      <xdr:row>37</xdr:row>
      <xdr:rowOff>57149</xdr:rowOff>
    </xdr:from>
    <xdr:to>
      <xdr:col>9</xdr:col>
      <xdr:colOff>1543049</xdr:colOff>
      <xdr:row>59</xdr:row>
      <xdr:rowOff>238124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579DCEB6-A90A-770F-BAB5-1F5CB8B0D0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152400</xdr:rowOff>
    </xdr:from>
    <xdr:to>
      <xdr:col>2</xdr:col>
      <xdr:colOff>388828</xdr:colOff>
      <xdr:row>1</xdr:row>
      <xdr:rowOff>558800</xdr:rowOff>
    </xdr:to>
    <xdr:pic>
      <xdr:nvPicPr>
        <xdr:cNvPr id="4" name="Imatge 4">
          <a:extLst>
            <a:ext uri="{FF2B5EF4-FFF2-40B4-BE49-F238E27FC236}">
              <a16:creationId xmlns:a16="http://schemas.microsoft.com/office/drawing/2014/main" id="{8D52736A-1868-4E46-B6CC-207399D86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438150"/>
          <a:ext cx="1179403" cy="406400"/>
        </a:xfrm>
        <a:prstGeom prst="rect">
          <a:avLst/>
        </a:prstGeom>
      </xdr:spPr>
    </xdr:pic>
    <xdr:clientData/>
  </xdr:twoCellAnchor>
  <xdr:twoCellAnchor>
    <xdr:from>
      <xdr:col>0</xdr:col>
      <xdr:colOff>80961</xdr:colOff>
      <xdr:row>35</xdr:row>
      <xdr:rowOff>85724</xdr:rowOff>
    </xdr:from>
    <xdr:to>
      <xdr:col>9</xdr:col>
      <xdr:colOff>714374</xdr:colOff>
      <xdr:row>54</xdr:row>
      <xdr:rowOff>19049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58D889A1-F491-DF30-53C6-6A65B1D5F8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142875</xdr:rowOff>
    </xdr:from>
    <xdr:to>
      <xdr:col>2</xdr:col>
      <xdr:colOff>360253</xdr:colOff>
      <xdr:row>1</xdr:row>
      <xdr:rowOff>549275</xdr:rowOff>
    </xdr:to>
    <xdr:pic>
      <xdr:nvPicPr>
        <xdr:cNvPr id="4" name="Imatge 4">
          <a:extLst>
            <a:ext uri="{FF2B5EF4-FFF2-40B4-BE49-F238E27FC236}">
              <a16:creationId xmlns:a16="http://schemas.microsoft.com/office/drawing/2014/main" id="{2EE75583-A86B-4331-9818-964AC19FB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28625"/>
          <a:ext cx="1179403" cy="406400"/>
        </a:xfrm>
        <a:prstGeom prst="rect">
          <a:avLst/>
        </a:prstGeom>
      </xdr:spPr>
    </xdr:pic>
    <xdr:clientData/>
  </xdr:twoCellAnchor>
  <xdr:twoCellAnchor>
    <xdr:from>
      <xdr:col>0</xdr:col>
      <xdr:colOff>23811</xdr:colOff>
      <xdr:row>35</xdr:row>
      <xdr:rowOff>257174</xdr:rowOff>
    </xdr:from>
    <xdr:to>
      <xdr:col>9</xdr:col>
      <xdr:colOff>914400</xdr:colOff>
      <xdr:row>52</xdr:row>
      <xdr:rowOff>76199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9A60344F-E62C-D336-2A05-162E7B254B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161925</xdr:rowOff>
    </xdr:from>
    <xdr:to>
      <xdr:col>2</xdr:col>
      <xdr:colOff>172211</xdr:colOff>
      <xdr:row>1</xdr:row>
      <xdr:rowOff>568325</xdr:rowOff>
    </xdr:to>
    <xdr:pic>
      <xdr:nvPicPr>
        <xdr:cNvPr id="2" name="Imatge 4">
          <a:extLst>
            <a:ext uri="{FF2B5EF4-FFF2-40B4-BE49-F238E27FC236}">
              <a16:creationId xmlns:a16="http://schemas.microsoft.com/office/drawing/2014/main" id="{E596D21D-0D85-4269-A187-F2565EFEE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447675"/>
          <a:ext cx="1179403" cy="406400"/>
        </a:xfrm>
        <a:prstGeom prst="rect">
          <a:avLst/>
        </a:prstGeom>
      </xdr:spPr>
    </xdr:pic>
    <xdr:clientData/>
  </xdr:twoCellAnchor>
  <xdr:twoCellAnchor>
    <xdr:from>
      <xdr:col>0</xdr:col>
      <xdr:colOff>198949</xdr:colOff>
      <xdr:row>20</xdr:row>
      <xdr:rowOff>145487</xdr:rowOff>
    </xdr:from>
    <xdr:to>
      <xdr:col>5</xdr:col>
      <xdr:colOff>768913</xdr:colOff>
      <xdr:row>32</xdr:row>
      <xdr:rowOff>69594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id="{9D417931-EC68-4192-BCAE-31DC2F599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161925</xdr:rowOff>
    </xdr:from>
    <xdr:to>
      <xdr:col>2</xdr:col>
      <xdr:colOff>341203</xdr:colOff>
      <xdr:row>1</xdr:row>
      <xdr:rowOff>568325</xdr:rowOff>
    </xdr:to>
    <xdr:pic>
      <xdr:nvPicPr>
        <xdr:cNvPr id="3" name="Imatge 4">
          <a:extLst>
            <a:ext uri="{FF2B5EF4-FFF2-40B4-BE49-F238E27FC236}">
              <a16:creationId xmlns:a16="http://schemas.microsoft.com/office/drawing/2014/main" id="{00B0CF72-A2E3-4DAD-A9BF-35231BF3D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447675"/>
          <a:ext cx="1179403" cy="406400"/>
        </a:xfrm>
        <a:prstGeom prst="rect">
          <a:avLst/>
        </a:prstGeom>
      </xdr:spPr>
    </xdr:pic>
    <xdr:clientData/>
  </xdr:twoCellAnchor>
  <xdr:twoCellAnchor>
    <xdr:from>
      <xdr:col>0</xdr:col>
      <xdr:colOff>198949</xdr:colOff>
      <xdr:row>20</xdr:row>
      <xdr:rowOff>145487</xdr:rowOff>
    </xdr:from>
    <xdr:to>
      <xdr:col>5</xdr:col>
      <xdr:colOff>768913</xdr:colOff>
      <xdr:row>32</xdr:row>
      <xdr:rowOff>69594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3E6DCECA-240C-C84D-74BE-B4F802A0E1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161925</xdr:rowOff>
    </xdr:from>
    <xdr:to>
      <xdr:col>2</xdr:col>
      <xdr:colOff>369778</xdr:colOff>
      <xdr:row>1</xdr:row>
      <xdr:rowOff>568325</xdr:rowOff>
    </xdr:to>
    <xdr:pic>
      <xdr:nvPicPr>
        <xdr:cNvPr id="4" name="Imatge 4">
          <a:extLst>
            <a:ext uri="{FF2B5EF4-FFF2-40B4-BE49-F238E27FC236}">
              <a16:creationId xmlns:a16="http://schemas.microsoft.com/office/drawing/2014/main" id="{6CD0B240-007C-447D-A5A0-6B0BC9BF6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447675"/>
          <a:ext cx="1179403" cy="406400"/>
        </a:xfrm>
        <a:prstGeom prst="rect">
          <a:avLst/>
        </a:prstGeom>
      </xdr:spPr>
    </xdr:pic>
    <xdr:clientData/>
  </xdr:twoCellAnchor>
  <xdr:twoCellAnchor>
    <xdr:from>
      <xdr:col>1</xdr:col>
      <xdr:colOff>23812</xdr:colOff>
      <xdr:row>36</xdr:row>
      <xdr:rowOff>200024</xdr:rowOff>
    </xdr:from>
    <xdr:to>
      <xdr:col>9</xdr:col>
      <xdr:colOff>914400</xdr:colOff>
      <xdr:row>60</xdr:row>
      <xdr:rowOff>57150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7E86DF3D-731F-C45F-1F25-139DDB34AF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142875</xdr:rowOff>
    </xdr:from>
    <xdr:to>
      <xdr:col>2</xdr:col>
      <xdr:colOff>312628</xdr:colOff>
      <xdr:row>1</xdr:row>
      <xdr:rowOff>549275</xdr:rowOff>
    </xdr:to>
    <xdr:pic>
      <xdr:nvPicPr>
        <xdr:cNvPr id="4" name="Imatge 4">
          <a:extLst>
            <a:ext uri="{FF2B5EF4-FFF2-40B4-BE49-F238E27FC236}">
              <a16:creationId xmlns:a16="http://schemas.microsoft.com/office/drawing/2014/main" id="{7AEF8394-6EFF-4AFB-A522-8F9BFBC28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428625"/>
          <a:ext cx="1179403" cy="406400"/>
        </a:xfrm>
        <a:prstGeom prst="rect">
          <a:avLst/>
        </a:prstGeom>
      </xdr:spPr>
    </xdr:pic>
    <xdr:clientData/>
  </xdr:twoCellAnchor>
  <xdr:twoCellAnchor>
    <xdr:from>
      <xdr:col>0</xdr:col>
      <xdr:colOff>52386</xdr:colOff>
      <xdr:row>29</xdr:row>
      <xdr:rowOff>266699</xdr:rowOff>
    </xdr:from>
    <xdr:to>
      <xdr:col>9</xdr:col>
      <xdr:colOff>761999</xdr:colOff>
      <xdr:row>44</xdr:row>
      <xdr:rowOff>47624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498F71B3-15BC-F8A5-3D3E-35B055678F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152400</xdr:rowOff>
    </xdr:from>
    <xdr:to>
      <xdr:col>2</xdr:col>
      <xdr:colOff>341203</xdr:colOff>
      <xdr:row>1</xdr:row>
      <xdr:rowOff>558800</xdr:rowOff>
    </xdr:to>
    <xdr:pic>
      <xdr:nvPicPr>
        <xdr:cNvPr id="4" name="Imatge 4">
          <a:extLst>
            <a:ext uri="{FF2B5EF4-FFF2-40B4-BE49-F238E27FC236}">
              <a16:creationId xmlns:a16="http://schemas.microsoft.com/office/drawing/2014/main" id="{E49F3A89-A50B-4EBA-BDB6-A94D0A800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438150"/>
          <a:ext cx="1179403" cy="406400"/>
        </a:xfrm>
        <a:prstGeom prst="rect">
          <a:avLst/>
        </a:prstGeom>
      </xdr:spPr>
    </xdr:pic>
    <xdr:clientData/>
  </xdr:twoCellAnchor>
  <xdr:twoCellAnchor>
    <xdr:from>
      <xdr:col>1</xdr:col>
      <xdr:colOff>52387</xdr:colOff>
      <xdr:row>17</xdr:row>
      <xdr:rowOff>219075</xdr:rowOff>
    </xdr:from>
    <xdr:to>
      <xdr:col>5</xdr:col>
      <xdr:colOff>71437</xdr:colOff>
      <xdr:row>28</xdr:row>
      <xdr:rowOff>238125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8D25A7D7-1713-43F5-B696-4540417612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17</xdr:row>
      <xdr:rowOff>209550</xdr:rowOff>
    </xdr:from>
    <xdr:ext cx="4295775" cy="2714625"/>
    <xdr:graphicFrame macro="">
      <xdr:nvGraphicFramePr>
        <xdr:cNvPr id="4" name="Chart 1" title="Gràfic">
          <a:extLst>
            <a:ext uri="{FF2B5EF4-FFF2-40B4-BE49-F238E27FC236}">
              <a16:creationId xmlns:a16="http://schemas.microsoft.com/office/drawing/2014/main" id="{BDD4EAB6-8828-4D2A-9ECB-96F0CE4302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 editAs="oneCell">
    <xdr:from>
      <xdr:col>1</xdr:col>
      <xdr:colOff>133350</xdr:colOff>
      <xdr:row>1</xdr:row>
      <xdr:rowOff>142875</xdr:rowOff>
    </xdr:from>
    <xdr:to>
      <xdr:col>2</xdr:col>
      <xdr:colOff>369778</xdr:colOff>
      <xdr:row>1</xdr:row>
      <xdr:rowOff>549275</xdr:rowOff>
    </xdr:to>
    <xdr:pic>
      <xdr:nvPicPr>
        <xdr:cNvPr id="5" name="Imatge 4">
          <a:extLst>
            <a:ext uri="{FF2B5EF4-FFF2-40B4-BE49-F238E27FC236}">
              <a16:creationId xmlns:a16="http://schemas.microsoft.com/office/drawing/2014/main" id="{081557BD-0F86-4331-9D86-2D7019CB8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428625"/>
          <a:ext cx="1179403" cy="406400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16</xdr:row>
      <xdr:rowOff>209550</xdr:rowOff>
    </xdr:from>
    <xdr:ext cx="4295775" cy="2714625"/>
    <xdr:graphicFrame macro="">
      <xdr:nvGraphicFramePr>
        <xdr:cNvPr id="2" name="Chart 1" title="Gràfic">
          <a:extLst>
            <a:ext uri="{FF2B5EF4-FFF2-40B4-BE49-F238E27FC236}">
              <a16:creationId xmlns:a16="http://schemas.microsoft.com/office/drawing/2014/main" id="{D08BE184-A2C8-4D05-AE26-948A23127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 editAs="oneCell">
    <xdr:from>
      <xdr:col>1</xdr:col>
      <xdr:colOff>133350</xdr:colOff>
      <xdr:row>1</xdr:row>
      <xdr:rowOff>142875</xdr:rowOff>
    </xdr:from>
    <xdr:to>
      <xdr:col>2</xdr:col>
      <xdr:colOff>369778</xdr:colOff>
      <xdr:row>1</xdr:row>
      <xdr:rowOff>549275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83CDA437-6457-48DD-A86C-5ECE08A58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428625"/>
          <a:ext cx="1179403" cy="406400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16</xdr:row>
      <xdr:rowOff>209550</xdr:rowOff>
    </xdr:from>
    <xdr:ext cx="4295775" cy="2714625"/>
    <xdr:graphicFrame macro="">
      <xdr:nvGraphicFramePr>
        <xdr:cNvPr id="2" name="Chart 1" title="Gràfic">
          <a:extLst>
            <a:ext uri="{FF2B5EF4-FFF2-40B4-BE49-F238E27FC236}">
              <a16:creationId xmlns:a16="http://schemas.microsoft.com/office/drawing/2014/main" id="{D26AE7CB-2832-4B89-BDEF-847516D45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 editAs="oneCell">
    <xdr:from>
      <xdr:col>1</xdr:col>
      <xdr:colOff>133350</xdr:colOff>
      <xdr:row>1</xdr:row>
      <xdr:rowOff>142875</xdr:rowOff>
    </xdr:from>
    <xdr:to>
      <xdr:col>2</xdr:col>
      <xdr:colOff>369778</xdr:colOff>
      <xdr:row>1</xdr:row>
      <xdr:rowOff>549275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AE0FA2D3-F754-414C-9714-1EE321E53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428625"/>
          <a:ext cx="1179403" cy="406400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133350</xdr:rowOff>
    </xdr:from>
    <xdr:to>
      <xdr:col>2</xdr:col>
      <xdr:colOff>369778</xdr:colOff>
      <xdr:row>1</xdr:row>
      <xdr:rowOff>539750</xdr:rowOff>
    </xdr:to>
    <xdr:pic>
      <xdr:nvPicPr>
        <xdr:cNvPr id="3" name="Imatge 4">
          <a:extLst>
            <a:ext uri="{FF2B5EF4-FFF2-40B4-BE49-F238E27FC236}">
              <a16:creationId xmlns:a16="http://schemas.microsoft.com/office/drawing/2014/main" id="{D163E05D-B1EB-4177-A7EE-1B5CA85DD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419100"/>
          <a:ext cx="1179403" cy="406400"/>
        </a:xfrm>
        <a:prstGeom prst="rect">
          <a:avLst/>
        </a:prstGeom>
      </xdr:spPr>
    </xdr:pic>
    <xdr:clientData/>
  </xdr:twoCellAnchor>
  <xdr:twoCellAnchor>
    <xdr:from>
      <xdr:col>0</xdr:col>
      <xdr:colOff>166687</xdr:colOff>
      <xdr:row>61</xdr:row>
      <xdr:rowOff>180975</xdr:rowOff>
    </xdr:from>
    <xdr:to>
      <xdr:col>5</xdr:col>
      <xdr:colOff>738187</xdr:colOff>
      <xdr:row>73</xdr:row>
      <xdr:rowOff>47625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4517B24F-3B3C-898C-0C2A-931B0FA98A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152400</xdr:rowOff>
    </xdr:from>
    <xdr:to>
      <xdr:col>2</xdr:col>
      <xdr:colOff>7828</xdr:colOff>
      <xdr:row>1</xdr:row>
      <xdr:rowOff>558800</xdr:rowOff>
    </xdr:to>
    <xdr:pic>
      <xdr:nvPicPr>
        <xdr:cNvPr id="4" name="Imatge 4">
          <a:extLst>
            <a:ext uri="{FF2B5EF4-FFF2-40B4-BE49-F238E27FC236}">
              <a16:creationId xmlns:a16="http://schemas.microsoft.com/office/drawing/2014/main" id="{DD3D170A-6A4F-4F13-9633-F573B26E6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438150"/>
          <a:ext cx="1179403" cy="406400"/>
        </a:xfrm>
        <a:prstGeom prst="rect">
          <a:avLst/>
        </a:prstGeom>
      </xdr:spPr>
    </xdr:pic>
    <xdr:clientData/>
  </xdr:twoCellAnchor>
  <xdr:twoCellAnchor>
    <xdr:from>
      <xdr:col>0</xdr:col>
      <xdr:colOff>147636</xdr:colOff>
      <xdr:row>37</xdr:row>
      <xdr:rowOff>152400</xdr:rowOff>
    </xdr:from>
    <xdr:to>
      <xdr:col>9</xdr:col>
      <xdr:colOff>1142999</xdr:colOff>
      <xdr:row>60</xdr:row>
      <xdr:rowOff>133350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9DBFC338-6808-A9A4-ABE2-37713C63FE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123825</xdr:rowOff>
    </xdr:from>
    <xdr:to>
      <xdr:col>2</xdr:col>
      <xdr:colOff>331678</xdr:colOff>
      <xdr:row>1</xdr:row>
      <xdr:rowOff>530225</xdr:rowOff>
    </xdr:to>
    <xdr:pic>
      <xdr:nvPicPr>
        <xdr:cNvPr id="4" name="Imatge 4">
          <a:extLst>
            <a:ext uri="{FF2B5EF4-FFF2-40B4-BE49-F238E27FC236}">
              <a16:creationId xmlns:a16="http://schemas.microsoft.com/office/drawing/2014/main" id="{CC912937-D373-4F12-991A-3FA36DF74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409575"/>
          <a:ext cx="1179403" cy="406400"/>
        </a:xfrm>
        <a:prstGeom prst="rect">
          <a:avLst/>
        </a:prstGeom>
      </xdr:spPr>
    </xdr:pic>
    <xdr:clientData/>
  </xdr:twoCellAnchor>
  <xdr:twoCellAnchor>
    <xdr:from>
      <xdr:col>0</xdr:col>
      <xdr:colOff>223837</xdr:colOff>
      <xdr:row>29</xdr:row>
      <xdr:rowOff>85725</xdr:rowOff>
    </xdr:from>
    <xdr:to>
      <xdr:col>5</xdr:col>
      <xdr:colOff>795337</xdr:colOff>
      <xdr:row>40</xdr:row>
      <xdr:rowOff>238125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3A6F1C72-111A-0118-E16B-2B4B568373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161925</xdr:rowOff>
    </xdr:from>
    <xdr:to>
      <xdr:col>2</xdr:col>
      <xdr:colOff>341203</xdr:colOff>
      <xdr:row>1</xdr:row>
      <xdr:rowOff>568325</xdr:rowOff>
    </xdr:to>
    <xdr:pic>
      <xdr:nvPicPr>
        <xdr:cNvPr id="4" name="Imatge 4">
          <a:extLst>
            <a:ext uri="{FF2B5EF4-FFF2-40B4-BE49-F238E27FC236}">
              <a16:creationId xmlns:a16="http://schemas.microsoft.com/office/drawing/2014/main" id="{AB073300-5C37-4295-82E1-466FDD633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447675"/>
          <a:ext cx="1179403" cy="406400"/>
        </a:xfrm>
        <a:prstGeom prst="rect">
          <a:avLst/>
        </a:prstGeom>
      </xdr:spPr>
    </xdr:pic>
    <xdr:clientData/>
  </xdr:twoCellAnchor>
  <xdr:twoCellAnchor>
    <xdr:from>
      <xdr:col>1</xdr:col>
      <xdr:colOff>23811</xdr:colOff>
      <xdr:row>37</xdr:row>
      <xdr:rowOff>9524</xdr:rowOff>
    </xdr:from>
    <xdr:to>
      <xdr:col>9</xdr:col>
      <xdr:colOff>1295400</xdr:colOff>
      <xdr:row>53</xdr:row>
      <xdr:rowOff>190500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6D089464-9AAD-0400-2FB2-0C67C7DD08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123825</xdr:rowOff>
    </xdr:from>
    <xdr:to>
      <xdr:col>2</xdr:col>
      <xdr:colOff>331678</xdr:colOff>
      <xdr:row>1</xdr:row>
      <xdr:rowOff>530225</xdr:rowOff>
    </xdr:to>
    <xdr:pic>
      <xdr:nvPicPr>
        <xdr:cNvPr id="2" name="Imatge 4">
          <a:extLst>
            <a:ext uri="{FF2B5EF4-FFF2-40B4-BE49-F238E27FC236}">
              <a16:creationId xmlns:a16="http://schemas.microsoft.com/office/drawing/2014/main" id="{DC2441D4-0A5F-45FF-B927-DBD07D667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409575"/>
          <a:ext cx="1179403" cy="406400"/>
        </a:xfrm>
        <a:prstGeom prst="rect">
          <a:avLst/>
        </a:prstGeom>
      </xdr:spPr>
    </xdr:pic>
    <xdr:clientData/>
  </xdr:twoCellAnchor>
  <xdr:twoCellAnchor>
    <xdr:from>
      <xdr:col>0</xdr:col>
      <xdr:colOff>223837</xdr:colOff>
      <xdr:row>17</xdr:row>
      <xdr:rowOff>85725</xdr:rowOff>
    </xdr:from>
    <xdr:to>
      <xdr:col>5</xdr:col>
      <xdr:colOff>795337</xdr:colOff>
      <xdr:row>28</xdr:row>
      <xdr:rowOff>238125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id="{26CE49B7-F12F-403D-B4F4-818B225CE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123825</xdr:rowOff>
    </xdr:from>
    <xdr:to>
      <xdr:col>2</xdr:col>
      <xdr:colOff>331678</xdr:colOff>
      <xdr:row>1</xdr:row>
      <xdr:rowOff>530225</xdr:rowOff>
    </xdr:to>
    <xdr:pic>
      <xdr:nvPicPr>
        <xdr:cNvPr id="2" name="Imatge 4">
          <a:extLst>
            <a:ext uri="{FF2B5EF4-FFF2-40B4-BE49-F238E27FC236}">
              <a16:creationId xmlns:a16="http://schemas.microsoft.com/office/drawing/2014/main" id="{BCA5E821-61BF-46CD-8398-DC43899B8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409575"/>
          <a:ext cx="1179403" cy="406400"/>
        </a:xfrm>
        <a:prstGeom prst="rect">
          <a:avLst/>
        </a:prstGeom>
      </xdr:spPr>
    </xdr:pic>
    <xdr:clientData/>
  </xdr:twoCellAnchor>
  <xdr:twoCellAnchor>
    <xdr:from>
      <xdr:col>0</xdr:col>
      <xdr:colOff>223837</xdr:colOff>
      <xdr:row>17</xdr:row>
      <xdr:rowOff>85725</xdr:rowOff>
    </xdr:from>
    <xdr:to>
      <xdr:col>5</xdr:col>
      <xdr:colOff>795337</xdr:colOff>
      <xdr:row>28</xdr:row>
      <xdr:rowOff>238125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id="{F68F1A9C-E85F-43C1-BA5A-5C50E1E2B3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133350</xdr:rowOff>
    </xdr:from>
    <xdr:to>
      <xdr:col>2</xdr:col>
      <xdr:colOff>369778</xdr:colOff>
      <xdr:row>1</xdr:row>
      <xdr:rowOff>539750</xdr:rowOff>
    </xdr:to>
    <xdr:pic>
      <xdr:nvPicPr>
        <xdr:cNvPr id="3" name="Imatge 4">
          <a:extLst>
            <a:ext uri="{FF2B5EF4-FFF2-40B4-BE49-F238E27FC236}">
              <a16:creationId xmlns:a16="http://schemas.microsoft.com/office/drawing/2014/main" id="{1A1DDDC6-1F59-4BBA-AEE4-F8A712F09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419100"/>
          <a:ext cx="1179403" cy="406400"/>
        </a:xfrm>
        <a:prstGeom prst="rect">
          <a:avLst/>
        </a:prstGeom>
      </xdr:spPr>
    </xdr:pic>
    <xdr:clientData/>
  </xdr:twoCellAnchor>
  <xdr:twoCellAnchor>
    <xdr:from>
      <xdr:col>0</xdr:col>
      <xdr:colOff>157162</xdr:colOff>
      <xdr:row>21</xdr:row>
      <xdr:rowOff>114300</xdr:rowOff>
    </xdr:from>
    <xdr:to>
      <xdr:col>5</xdr:col>
      <xdr:colOff>728662</xdr:colOff>
      <xdr:row>32</xdr:row>
      <xdr:rowOff>133350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6D775453-8668-686D-0B00-62607ADDFF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133350</xdr:rowOff>
    </xdr:from>
    <xdr:to>
      <xdr:col>2</xdr:col>
      <xdr:colOff>369778</xdr:colOff>
      <xdr:row>1</xdr:row>
      <xdr:rowOff>539750</xdr:rowOff>
    </xdr:to>
    <xdr:pic>
      <xdr:nvPicPr>
        <xdr:cNvPr id="2" name="Imatge 4">
          <a:extLst>
            <a:ext uri="{FF2B5EF4-FFF2-40B4-BE49-F238E27FC236}">
              <a16:creationId xmlns:a16="http://schemas.microsoft.com/office/drawing/2014/main" id="{DC8FFA7E-6EBA-448F-8599-B965E7441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419100"/>
          <a:ext cx="1179403" cy="406400"/>
        </a:xfrm>
        <a:prstGeom prst="rect">
          <a:avLst/>
        </a:prstGeom>
      </xdr:spPr>
    </xdr:pic>
    <xdr:clientData/>
  </xdr:twoCellAnchor>
  <xdr:twoCellAnchor>
    <xdr:from>
      <xdr:col>0</xdr:col>
      <xdr:colOff>157162</xdr:colOff>
      <xdr:row>18</xdr:row>
      <xdr:rowOff>114300</xdr:rowOff>
    </xdr:from>
    <xdr:to>
      <xdr:col>5</xdr:col>
      <xdr:colOff>728662</xdr:colOff>
      <xdr:row>29</xdr:row>
      <xdr:rowOff>133350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id="{464A7C77-24E6-4150-A8C6-ED0010DBA7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152400</xdr:rowOff>
    </xdr:from>
    <xdr:to>
      <xdr:col>2</xdr:col>
      <xdr:colOff>341203</xdr:colOff>
      <xdr:row>1</xdr:row>
      <xdr:rowOff>558800</xdr:rowOff>
    </xdr:to>
    <xdr:pic>
      <xdr:nvPicPr>
        <xdr:cNvPr id="5" name="Imatge 4">
          <a:extLst>
            <a:ext uri="{FF2B5EF4-FFF2-40B4-BE49-F238E27FC236}">
              <a16:creationId xmlns:a16="http://schemas.microsoft.com/office/drawing/2014/main" id="{AC62364E-21E1-428E-8584-76B2F8A04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438150"/>
          <a:ext cx="1179403" cy="406400"/>
        </a:xfrm>
        <a:prstGeom prst="rect">
          <a:avLst/>
        </a:prstGeom>
      </xdr:spPr>
    </xdr:pic>
    <xdr:clientData/>
  </xdr:twoCellAnchor>
  <xdr:twoCellAnchor>
    <xdr:from>
      <xdr:col>0</xdr:col>
      <xdr:colOff>90487</xdr:colOff>
      <xdr:row>28</xdr:row>
      <xdr:rowOff>190499</xdr:rowOff>
    </xdr:from>
    <xdr:to>
      <xdr:col>9</xdr:col>
      <xdr:colOff>695325</xdr:colOff>
      <xdr:row>48</xdr:row>
      <xdr:rowOff>219074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1D7D47E8-FB30-DC6E-CB66-31EE5AF711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133350</xdr:rowOff>
    </xdr:from>
    <xdr:to>
      <xdr:col>2</xdr:col>
      <xdr:colOff>369778</xdr:colOff>
      <xdr:row>1</xdr:row>
      <xdr:rowOff>539750</xdr:rowOff>
    </xdr:to>
    <xdr:pic>
      <xdr:nvPicPr>
        <xdr:cNvPr id="3" name="Imatge 4">
          <a:extLst>
            <a:ext uri="{FF2B5EF4-FFF2-40B4-BE49-F238E27FC236}">
              <a16:creationId xmlns:a16="http://schemas.microsoft.com/office/drawing/2014/main" id="{B3F49E1E-B6A4-43B7-8AEE-ED53838AC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419100"/>
          <a:ext cx="1179403" cy="406400"/>
        </a:xfrm>
        <a:prstGeom prst="rect">
          <a:avLst/>
        </a:prstGeom>
      </xdr:spPr>
    </xdr:pic>
    <xdr:clientData/>
  </xdr:twoCellAnchor>
  <xdr:twoCellAnchor>
    <xdr:from>
      <xdr:col>0</xdr:col>
      <xdr:colOff>195262</xdr:colOff>
      <xdr:row>28</xdr:row>
      <xdr:rowOff>171450</xdr:rowOff>
    </xdr:from>
    <xdr:to>
      <xdr:col>8</xdr:col>
      <xdr:colOff>114300</xdr:colOff>
      <xdr:row>44</xdr:row>
      <xdr:rowOff>152400</xdr:rowOff>
    </xdr:to>
    <xdr:graphicFrame macro="">
      <xdr:nvGraphicFramePr>
        <xdr:cNvPr id="4" name="Gràfic 3">
          <a:extLst>
            <a:ext uri="{FF2B5EF4-FFF2-40B4-BE49-F238E27FC236}">
              <a16:creationId xmlns:a16="http://schemas.microsoft.com/office/drawing/2014/main" id="{8E7A62F7-CD1F-A813-1466-D3D468164E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133350</xdr:rowOff>
    </xdr:from>
    <xdr:to>
      <xdr:col>2</xdr:col>
      <xdr:colOff>369778</xdr:colOff>
      <xdr:row>1</xdr:row>
      <xdr:rowOff>539750</xdr:rowOff>
    </xdr:to>
    <xdr:pic>
      <xdr:nvPicPr>
        <xdr:cNvPr id="4" name="Imatge 4">
          <a:extLst>
            <a:ext uri="{FF2B5EF4-FFF2-40B4-BE49-F238E27FC236}">
              <a16:creationId xmlns:a16="http://schemas.microsoft.com/office/drawing/2014/main" id="{6895C4CA-7923-469B-BC02-1F3CE97F0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419100"/>
          <a:ext cx="1179403" cy="406400"/>
        </a:xfrm>
        <a:prstGeom prst="rect">
          <a:avLst/>
        </a:prstGeom>
      </xdr:spPr>
    </xdr:pic>
    <xdr:clientData/>
  </xdr:twoCellAnchor>
  <xdr:twoCellAnchor>
    <xdr:from>
      <xdr:col>0</xdr:col>
      <xdr:colOff>185737</xdr:colOff>
      <xdr:row>28</xdr:row>
      <xdr:rowOff>209550</xdr:rowOff>
    </xdr:from>
    <xdr:to>
      <xdr:col>9</xdr:col>
      <xdr:colOff>409575</xdr:colOff>
      <xdr:row>49</xdr:row>
      <xdr:rowOff>152400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74D3889F-9505-830F-D77E-925363384B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142875</xdr:rowOff>
    </xdr:from>
    <xdr:to>
      <xdr:col>2</xdr:col>
      <xdr:colOff>322153</xdr:colOff>
      <xdr:row>1</xdr:row>
      <xdr:rowOff>549275</xdr:rowOff>
    </xdr:to>
    <xdr:pic>
      <xdr:nvPicPr>
        <xdr:cNvPr id="5" name="Imatge 4">
          <a:extLst>
            <a:ext uri="{FF2B5EF4-FFF2-40B4-BE49-F238E27FC236}">
              <a16:creationId xmlns:a16="http://schemas.microsoft.com/office/drawing/2014/main" id="{CDDC08FE-F7F4-4C13-98B6-007CDC460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428625"/>
          <a:ext cx="1179403" cy="4064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8</xdr:col>
      <xdr:colOff>1517651</xdr:colOff>
      <xdr:row>46</xdr:row>
      <xdr:rowOff>44451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id="{0126CDB6-E64E-4E6B-8039-DCE7484582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152400</xdr:rowOff>
    </xdr:from>
    <xdr:to>
      <xdr:col>2</xdr:col>
      <xdr:colOff>341203</xdr:colOff>
      <xdr:row>1</xdr:row>
      <xdr:rowOff>558800</xdr:rowOff>
    </xdr:to>
    <xdr:pic>
      <xdr:nvPicPr>
        <xdr:cNvPr id="3" name="Imatge 4">
          <a:extLst>
            <a:ext uri="{FF2B5EF4-FFF2-40B4-BE49-F238E27FC236}">
              <a16:creationId xmlns:a16="http://schemas.microsoft.com/office/drawing/2014/main" id="{CE3291A7-7195-4B5B-A225-C91653945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438150"/>
          <a:ext cx="1179403" cy="406400"/>
        </a:xfrm>
        <a:prstGeom prst="rect">
          <a:avLst/>
        </a:prstGeom>
      </xdr:spPr>
    </xdr:pic>
    <xdr:clientData/>
  </xdr:twoCellAnchor>
  <xdr:twoCellAnchor>
    <xdr:from>
      <xdr:col>0</xdr:col>
      <xdr:colOff>80961</xdr:colOff>
      <xdr:row>29</xdr:row>
      <xdr:rowOff>85725</xdr:rowOff>
    </xdr:from>
    <xdr:to>
      <xdr:col>8</xdr:col>
      <xdr:colOff>390524</xdr:colOff>
      <xdr:row>51</xdr:row>
      <xdr:rowOff>28575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66528BF2-4B25-FDC3-3B60-BFF7A0E720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142875</xdr:rowOff>
    </xdr:from>
    <xdr:to>
      <xdr:col>2</xdr:col>
      <xdr:colOff>360253</xdr:colOff>
      <xdr:row>1</xdr:row>
      <xdr:rowOff>549275</xdr:rowOff>
    </xdr:to>
    <xdr:pic>
      <xdr:nvPicPr>
        <xdr:cNvPr id="5" name="Imatge 4">
          <a:extLst>
            <a:ext uri="{FF2B5EF4-FFF2-40B4-BE49-F238E27FC236}">
              <a16:creationId xmlns:a16="http://schemas.microsoft.com/office/drawing/2014/main" id="{C248946F-1998-440E-853B-B52C31D8A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28625"/>
          <a:ext cx="1179403" cy="406400"/>
        </a:xfrm>
        <a:prstGeom prst="rect">
          <a:avLst/>
        </a:prstGeom>
      </xdr:spPr>
    </xdr:pic>
    <xdr:clientData/>
  </xdr:twoCellAnchor>
  <xdr:twoCellAnchor>
    <xdr:from>
      <xdr:col>0</xdr:col>
      <xdr:colOff>185737</xdr:colOff>
      <xdr:row>36</xdr:row>
      <xdr:rowOff>209549</xdr:rowOff>
    </xdr:from>
    <xdr:to>
      <xdr:col>8</xdr:col>
      <xdr:colOff>447675</xdr:colOff>
      <xdr:row>53</xdr:row>
      <xdr:rowOff>85724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F25BF9D3-9BF3-FB4C-5CEF-271161212B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123825</xdr:rowOff>
    </xdr:from>
    <xdr:to>
      <xdr:col>2</xdr:col>
      <xdr:colOff>331678</xdr:colOff>
      <xdr:row>1</xdr:row>
      <xdr:rowOff>530225</xdr:rowOff>
    </xdr:to>
    <xdr:pic>
      <xdr:nvPicPr>
        <xdr:cNvPr id="2" name="Imatge 4">
          <a:extLst>
            <a:ext uri="{FF2B5EF4-FFF2-40B4-BE49-F238E27FC236}">
              <a16:creationId xmlns:a16="http://schemas.microsoft.com/office/drawing/2014/main" id="{6E63CC83-0FF3-473F-AACC-BEE6D506D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409575"/>
          <a:ext cx="1179403" cy="406400"/>
        </a:xfrm>
        <a:prstGeom prst="rect">
          <a:avLst/>
        </a:prstGeom>
      </xdr:spPr>
    </xdr:pic>
    <xdr:clientData/>
  </xdr:twoCellAnchor>
  <xdr:twoCellAnchor>
    <xdr:from>
      <xdr:col>0</xdr:col>
      <xdr:colOff>223837</xdr:colOff>
      <xdr:row>18</xdr:row>
      <xdr:rowOff>85725</xdr:rowOff>
    </xdr:from>
    <xdr:to>
      <xdr:col>5</xdr:col>
      <xdr:colOff>795337</xdr:colOff>
      <xdr:row>29</xdr:row>
      <xdr:rowOff>238125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id="{F63DC2E8-0B51-44BF-9D43-C10884264C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36</xdr:row>
      <xdr:rowOff>209550</xdr:rowOff>
    </xdr:from>
    <xdr:ext cx="4295775" cy="2714625"/>
    <xdr:graphicFrame macro="">
      <xdr:nvGraphicFramePr>
        <xdr:cNvPr id="4" name="Chart 1" title="Gràfic">
          <a:extLst>
            <a:ext uri="{FF2B5EF4-FFF2-40B4-BE49-F238E27FC236}">
              <a16:creationId xmlns:a16="http://schemas.microsoft.com/office/drawing/2014/main" id="{1ABD1748-F3B1-4140-BCEB-2873AAE1D4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 editAs="oneCell">
    <xdr:from>
      <xdr:col>1</xdr:col>
      <xdr:colOff>123825</xdr:colOff>
      <xdr:row>1</xdr:row>
      <xdr:rowOff>123825</xdr:rowOff>
    </xdr:from>
    <xdr:to>
      <xdr:col>2</xdr:col>
      <xdr:colOff>360253</xdr:colOff>
      <xdr:row>1</xdr:row>
      <xdr:rowOff>530225</xdr:rowOff>
    </xdr:to>
    <xdr:pic>
      <xdr:nvPicPr>
        <xdr:cNvPr id="5" name="Imatge 4">
          <a:extLst>
            <a:ext uri="{FF2B5EF4-FFF2-40B4-BE49-F238E27FC236}">
              <a16:creationId xmlns:a16="http://schemas.microsoft.com/office/drawing/2014/main" id="{B2496E92-F650-4E17-8709-4FBD0C545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09575"/>
          <a:ext cx="1179403" cy="406400"/>
        </a:xfrm>
        <a:prstGeom prst="rect">
          <a:avLst/>
        </a:prstGeom>
      </xdr:spPr>
    </xdr:pic>
    <xdr:clientData/>
  </xdr:twoCellAnchor>
  <xdr:twoCellAnchor>
    <xdr:from>
      <xdr:col>1</xdr:col>
      <xdr:colOff>15874</xdr:colOff>
      <xdr:row>34</xdr:row>
      <xdr:rowOff>244474</xdr:rowOff>
    </xdr:from>
    <xdr:to>
      <xdr:col>12</xdr:col>
      <xdr:colOff>38100</xdr:colOff>
      <xdr:row>63</xdr:row>
      <xdr:rowOff>241300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DF51422E-6499-1B2E-851F-D529846042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161925</xdr:rowOff>
    </xdr:from>
    <xdr:to>
      <xdr:col>2</xdr:col>
      <xdr:colOff>322153</xdr:colOff>
      <xdr:row>1</xdr:row>
      <xdr:rowOff>568325</xdr:rowOff>
    </xdr:to>
    <xdr:pic>
      <xdr:nvPicPr>
        <xdr:cNvPr id="5" name="Imatge 4">
          <a:extLst>
            <a:ext uri="{FF2B5EF4-FFF2-40B4-BE49-F238E27FC236}">
              <a16:creationId xmlns:a16="http://schemas.microsoft.com/office/drawing/2014/main" id="{AA53E428-EEE9-48F6-92EF-DD6095666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447675"/>
          <a:ext cx="1179403" cy="406400"/>
        </a:xfrm>
        <a:prstGeom prst="rect">
          <a:avLst/>
        </a:prstGeom>
      </xdr:spPr>
    </xdr:pic>
    <xdr:clientData/>
  </xdr:twoCellAnchor>
  <xdr:twoCellAnchor>
    <xdr:from>
      <xdr:col>0</xdr:col>
      <xdr:colOff>187324</xdr:colOff>
      <xdr:row>38</xdr:row>
      <xdr:rowOff>41274</xdr:rowOff>
    </xdr:from>
    <xdr:to>
      <xdr:col>8</xdr:col>
      <xdr:colOff>457199</xdr:colOff>
      <xdr:row>51</xdr:row>
      <xdr:rowOff>228599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id="{0CBF5794-5DA3-E6FE-94E8-A679D175E0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190500</xdr:rowOff>
    </xdr:from>
    <xdr:to>
      <xdr:col>2</xdr:col>
      <xdr:colOff>331678</xdr:colOff>
      <xdr:row>1</xdr:row>
      <xdr:rowOff>596900</xdr:rowOff>
    </xdr:to>
    <xdr:pic>
      <xdr:nvPicPr>
        <xdr:cNvPr id="5" name="Imatge 4">
          <a:extLst>
            <a:ext uri="{FF2B5EF4-FFF2-40B4-BE49-F238E27FC236}">
              <a16:creationId xmlns:a16="http://schemas.microsoft.com/office/drawing/2014/main" id="{22A6744E-EBF9-4284-87FB-4D687ED44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476250"/>
          <a:ext cx="1179403" cy="406400"/>
        </a:xfrm>
        <a:prstGeom prst="rect">
          <a:avLst/>
        </a:prstGeom>
      </xdr:spPr>
    </xdr:pic>
    <xdr:clientData/>
  </xdr:twoCellAnchor>
  <xdr:twoCellAnchor>
    <xdr:from>
      <xdr:col>0</xdr:col>
      <xdr:colOff>180974</xdr:colOff>
      <xdr:row>36</xdr:row>
      <xdr:rowOff>285749</xdr:rowOff>
    </xdr:from>
    <xdr:to>
      <xdr:col>9</xdr:col>
      <xdr:colOff>876299</xdr:colOff>
      <xdr:row>57</xdr:row>
      <xdr:rowOff>47624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D6D4D0F8-E48F-3374-B594-B36F5BBAF0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152400</xdr:rowOff>
    </xdr:from>
    <xdr:to>
      <xdr:col>2</xdr:col>
      <xdr:colOff>322153</xdr:colOff>
      <xdr:row>1</xdr:row>
      <xdr:rowOff>558800</xdr:rowOff>
    </xdr:to>
    <xdr:pic>
      <xdr:nvPicPr>
        <xdr:cNvPr id="4" name="Imatge 4">
          <a:extLst>
            <a:ext uri="{FF2B5EF4-FFF2-40B4-BE49-F238E27FC236}">
              <a16:creationId xmlns:a16="http://schemas.microsoft.com/office/drawing/2014/main" id="{B12E8356-37A1-4E84-993C-BD5E88FBD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438150"/>
          <a:ext cx="1179403" cy="406400"/>
        </a:xfrm>
        <a:prstGeom prst="rect">
          <a:avLst/>
        </a:prstGeom>
      </xdr:spPr>
    </xdr:pic>
    <xdr:clientData/>
  </xdr:twoCellAnchor>
  <xdr:twoCellAnchor>
    <xdr:from>
      <xdr:col>0</xdr:col>
      <xdr:colOff>214311</xdr:colOff>
      <xdr:row>40</xdr:row>
      <xdr:rowOff>152400</xdr:rowOff>
    </xdr:from>
    <xdr:to>
      <xdr:col>8</xdr:col>
      <xdr:colOff>809624</xdr:colOff>
      <xdr:row>59</xdr:row>
      <xdr:rowOff>0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52688B63-FE70-0915-5202-D21AE00EB1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2</xdr:col>
      <xdr:colOff>341203</xdr:colOff>
      <xdr:row>1</xdr:row>
      <xdr:rowOff>539750</xdr:rowOff>
    </xdr:to>
    <xdr:pic>
      <xdr:nvPicPr>
        <xdr:cNvPr id="4" name="Imatge 4">
          <a:extLst>
            <a:ext uri="{FF2B5EF4-FFF2-40B4-BE49-F238E27FC236}">
              <a16:creationId xmlns:a16="http://schemas.microsoft.com/office/drawing/2014/main" id="{B081D269-0AFE-4E99-9A45-DCE4270CD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419100"/>
          <a:ext cx="1179403" cy="406400"/>
        </a:xfrm>
        <a:prstGeom prst="rect">
          <a:avLst/>
        </a:prstGeom>
      </xdr:spPr>
    </xdr:pic>
    <xdr:clientData/>
  </xdr:twoCellAnchor>
  <xdr:twoCellAnchor>
    <xdr:from>
      <xdr:col>0</xdr:col>
      <xdr:colOff>138112</xdr:colOff>
      <xdr:row>16</xdr:row>
      <xdr:rowOff>209550</xdr:rowOff>
    </xdr:from>
    <xdr:to>
      <xdr:col>5</xdr:col>
      <xdr:colOff>709612</xdr:colOff>
      <xdr:row>28</xdr:row>
      <xdr:rowOff>114300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C36535B7-430B-CC04-EB8B-3EF563A387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133350</xdr:rowOff>
    </xdr:from>
    <xdr:to>
      <xdr:col>1</xdr:col>
      <xdr:colOff>1179403</xdr:colOff>
      <xdr:row>1</xdr:row>
      <xdr:rowOff>682625</xdr:rowOff>
    </xdr:to>
    <xdr:pic>
      <xdr:nvPicPr>
        <xdr:cNvPr id="2" name="Imatge 4">
          <a:extLst>
            <a:ext uri="{FF2B5EF4-FFF2-40B4-BE49-F238E27FC236}">
              <a16:creationId xmlns:a16="http://schemas.microsoft.com/office/drawing/2014/main" id="{F723C410-659C-4A0B-B416-30896E728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419100"/>
          <a:ext cx="1179403" cy="406400"/>
        </a:xfrm>
        <a:prstGeom prst="rect">
          <a:avLst/>
        </a:prstGeom>
      </xdr:spPr>
    </xdr:pic>
    <xdr:clientData/>
  </xdr:twoCellAnchor>
  <xdr:twoCellAnchor>
    <xdr:from>
      <xdr:col>1</xdr:col>
      <xdr:colOff>4762</xdr:colOff>
      <xdr:row>16</xdr:row>
      <xdr:rowOff>209550</xdr:rowOff>
    </xdr:from>
    <xdr:to>
      <xdr:col>8</xdr:col>
      <xdr:colOff>723900</xdr:colOff>
      <xdr:row>31</xdr:row>
      <xdr:rowOff>28575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id="{5833932E-F29D-4E43-9675-F19AC31FD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2</xdr:col>
      <xdr:colOff>341203</xdr:colOff>
      <xdr:row>1</xdr:row>
      <xdr:rowOff>539750</xdr:rowOff>
    </xdr:to>
    <xdr:pic>
      <xdr:nvPicPr>
        <xdr:cNvPr id="5" name="Imatge 4">
          <a:extLst>
            <a:ext uri="{FF2B5EF4-FFF2-40B4-BE49-F238E27FC236}">
              <a16:creationId xmlns:a16="http://schemas.microsoft.com/office/drawing/2014/main" id="{64D9AB35-7B71-4BC8-9BDE-A6DD2ED58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419100"/>
          <a:ext cx="1179403" cy="406400"/>
        </a:xfrm>
        <a:prstGeom prst="rect">
          <a:avLst/>
        </a:prstGeom>
      </xdr:spPr>
    </xdr:pic>
    <xdr:clientData/>
  </xdr:twoCellAnchor>
  <xdr:twoCellAnchor>
    <xdr:from>
      <xdr:col>0</xdr:col>
      <xdr:colOff>142874</xdr:colOff>
      <xdr:row>29</xdr:row>
      <xdr:rowOff>133350</xdr:rowOff>
    </xdr:from>
    <xdr:to>
      <xdr:col>9</xdr:col>
      <xdr:colOff>447674</xdr:colOff>
      <xdr:row>46</xdr:row>
      <xdr:rowOff>95250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F05EDAA1-4C61-868B-5764-3DD1E5E548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152400</xdr:rowOff>
    </xdr:from>
    <xdr:to>
      <xdr:col>2</xdr:col>
      <xdr:colOff>341203</xdr:colOff>
      <xdr:row>1</xdr:row>
      <xdr:rowOff>558800</xdr:rowOff>
    </xdr:to>
    <xdr:pic>
      <xdr:nvPicPr>
        <xdr:cNvPr id="5" name="Imatge 4">
          <a:extLst>
            <a:ext uri="{FF2B5EF4-FFF2-40B4-BE49-F238E27FC236}">
              <a16:creationId xmlns:a16="http://schemas.microsoft.com/office/drawing/2014/main" id="{2A769D25-9C8F-464A-8004-486AE88B8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438150"/>
          <a:ext cx="1179403" cy="406400"/>
        </a:xfrm>
        <a:prstGeom prst="rect">
          <a:avLst/>
        </a:prstGeom>
      </xdr:spPr>
    </xdr:pic>
    <xdr:clientData/>
  </xdr:twoCellAnchor>
  <xdr:twoCellAnchor>
    <xdr:from>
      <xdr:col>0</xdr:col>
      <xdr:colOff>138111</xdr:colOff>
      <xdr:row>29</xdr:row>
      <xdr:rowOff>95249</xdr:rowOff>
    </xdr:from>
    <xdr:to>
      <xdr:col>8</xdr:col>
      <xdr:colOff>314324</xdr:colOff>
      <xdr:row>47</xdr:row>
      <xdr:rowOff>123824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71BD66F5-42DB-0891-470A-D463F441F5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ab.cat/web/estudiar/graus/sistema-de-garantia-interna-de-qualitat-del-centre/sgiq-de-la-facultat-1345722993885.html" TargetMode="External"/><Relationship Id="rId13" Type="http://schemas.openxmlformats.org/officeDocument/2006/relationships/hyperlink" Target="https://www.uab.cat/web/estudiar/graus/sistema-de-garantia-interna-de-qualitat-del-centre/sgiq-de-la-facultat-1345722993885.html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uab.cat/web/estudiar/graus/sistema-de-garantia-interna-de-qualitat-del-centre/sgiq-de-la-facultat-1345722993885.html" TargetMode="External"/><Relationship Id="rId7" Type="http://schemas.openxmlformats.org/officeDocument/2006/relationships/hyperlink" Target="https://www.uab.cat/web/estudiar/graus/sistema-de-garantia-interna-de-qualitat-del-centre/sgiq-de-la-facultat-1345722993885.html" TargetMode="External"/><Relationship Id="rId12" Type="http://schemas.openxmlformats.org/officeDocument/2006/relationships/hyperlink" Target="https://www.uab.cat/web/estudiar/graus/sistema-de-garantia-interna-de-qualitat-del-centre/sgiq-de-la-facultat-1345722993885.html" TargetMode="External"/><Relationship Id="rId17" Type="http://schemas.openxmlformats.org/officeDocument/2006/relationships/hyperlink" Target="https://www.uab.cat/web/estudiar/graus/sistema-de-garantia-interna-de-qualitat-del-centre/sgiq-de-la-facultat-1345722993885.html" TargetMode="External"/><Relationship Id="rId2" Type="http://schemas.openxmlformats.org/officeDocument/2006/relationships/hyperlink" Target="https://www.uab.cat/web/estudiar/graus/sistema-de-garantia-interna-de-qualitat-del-centre/sgiq-de-la-facultat-1345722993885.html" TargetMode="External"/><Relationship Id="rId16" Type="http://schemas.openxmlformats.org/officeDocument/2006/relationships/hyperlink" Target="https://www.uab.cat/web/estudiar/graus/sistema-de-garantia-interna-de-qualitat-del-centre/sgiq-de-la-facultat-1345722993885.html" TargetMode="External"/><Relationship Id="rId1" Type="http://schemas.openxmlformats.org/officeDocument/2006/relationships/hyperlink" Target="https://www.uab.cat/web/estudiar/graus/sistema-de-garantia-interna-de-qualitat-del-centre/sgiq-de-la-facultat-1345722993885.html" TargetMode="External"/><Relationship Id="rId6" Type="http://schemas.openxmlformats.org/officeDocument/2006/relationships/hyperlink" Target="https://www.uab.cat/web/estudiar/graus/sistema-de-garantia-interna-de-qualitat-del-centre/sgiq-de-la-facultat-1345722993885.html" TargetMode="External"/><Relationship Id="rId11" Type="http://schemas.openxmlformats.org/officeDocument/2006/relationships/hyperlink" Target="https://www.uab.cat/web/estudiar/graus/sistema-de-garantia-interna-de-qualitat-del-centre/sgiq-de-la-facultat-1345722993885.html" TargetMode="External"/><Relationship Id="rId5" Type="http://schemas.openxmlformats.org/officeDocument/2006/relationships/hyperlink" Target="https://www.uab.cat/web/estudiar/graus/sistema-de-garantia-interna-de-qualitat-del-centre/sgiq-de-la-facultat-1345722993885.html" TargetMode="External"/><Relationship Id="rId15" Type="http://schemas.openxmlformats.org/officeDocument/2006/relationships/hyperlink" Target="https://www.uab.cat/web/estudiar/graus/sistema-de-garantia-interna-de-qualitat-del-centre/sgiq-de-la-facultat-1345722993885.html" TargetMode="External"/><Relationship Id="rId10" Type="http://schemas.openxmlformats.org/officeDocument/2006/relationships/hyperlink" Target="https://www.uab.cat/web/estudiar/graus/sistema-de-garantia-interna-de-qualitat-del-centre/sgiq-de-la-facultat-1345722993885.html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www.uab.cat/web/estudiar/graus/sistema-de-garantia-interna-de-qualitat-del-centre/sgiq-de-la-facultat-1345722993885.html" TargetMode="External"/><Relationship Id="rId9" Type="http://schemas.openxmlformats.org/officeDocument/2006/relationships/hyperlink" Target="https://www.uab.cat/web/estudiar/graus/sistema-de-garantia-interna-de-qualitat-del-centre/sgiq-de-la-facultat-1345722993885.html" TargetMode="External"/><Relationship Id="rId14" Type="http://schemas.openxmlformats.org/officeDocument/2006/relationships/hyperlink" Target="https://www.uab.cat/web/estudiar/graus/sistema-de-garantia-interna-de-qualitat-del-centre/sgiq-de-la-facultat-1345722993885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9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0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1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2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3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4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5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6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7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8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49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0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1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2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3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4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5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6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7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59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0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1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2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3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4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5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66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67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6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  <outlinePr summaryBelow="0" summaryRight="0"/>
    <pageSetUpPr fitToPage="1"/>
  </sheetPr>
  <dimension ref="A2:H83"/>
  <sheetViews>
    <sheetView showGridLines="0" zoomScaleNormal="100" workbookViewId="0">
      <pane ySplit="6" topLeftCell="A16" activePane="bottomLeft" state="frozen"/>
      <selection pane="bottomLeft" activeCell="H11" sqref="H11"/>
    </sheetView>
  </sheetViews>
  <sheetFormatPr defaultColWidth="12.5703125" defaultRowHeight="15.75" customHeight="1" x14ac:dyDescent="0.25"/>
  <cols>
    <col min="1" max="1" width="1.42578125" style="43" customWidth="1"/>
    <col min="2" max="2" width="20.140625" style="85" customWidth="1"/>
    <col min="3" max="3" width="39.140625" style="85" customWidth="1"/>
    <col min="4" max="4" width="28.28515625" style="91" customWidth="1"/>
    <col min="5" max="5" width="23.140625" style="91" customWidth="1"/>
    <col min="6" max="6" width="17.28515625" style="91" customWidth="1"/>
    <col min="7" max="7" width="35.5703125" style="69" customWidth="1"/>
    <col min="8" max="8" width="28.85546875" style="43" bestFit="1" customWidth="1"/>
    <col min="9" max="16384" width="12.5703125" style="43"/>
  </cols>
  <sheetData>
    <row r="2" spans="1:8" ht="22.5" customHeight="1" x14ac:dyDescent="0.2">
      <c r="A2" s="1"/>
      <c r="B2" s="567"/>
      <c r="C2" s="568"/>
      <c r="D2" s="565" t="s">
        <v>0</v>
      </c>
      <c r="E2" s="566"/>
      <c r="F2" s="566"/>
      <c r="G2" s="566"/>
      <c r="H2" s="359"/>
    </row>
    <row r="3" spans="1:8" ht="22.5" customHeight="1" x14ac:dyDescent="0.2">
      <c r="A3" s="1"/>
      <c r="B3" s="569"/>
      <c r="C3" s="570"/>
      <c r="D3" s="565"/>
      <c r="E3" s="566"/>
      <c r="F3" s="566"/>
      <c r="G3" s="566"/>
      <c r="H3" s="359"/>
    </row>
    <row r="4" spans="1:8" ht="22.5" customHeight="1" x14ac:dyDescent="0.2">
      <c r="A4" s="1"/>
      <c r="B4" s="571"/>
      <c r="C4" s="572"/>
      <c r="D4" s="565"/>
      <c r="E4" s="566"/>
      <c r="F4" s="566"/>
      <c r="G4" s="566"/>
      <c r="H4" s="359"/>
    </row>
    <row r="5" spans="1:8" ht="7.5" customHeight="1" x14ac:dyDescent="0.2">
      <c r="A5" s="1"/>
      <c r="B5" s="68"/>
      <c r="C5" s="68"/>
      <c r="D5" s="68"/>
      <c r="E5" s="86"/>
      <c r="F5" s="86"/>
      <c r="G5" s="68"/>
      <c r="H5" s="359"/>
    </row>
    <row r="6" spans="1:8" s="88" customFormat="1" ht="42.6" customHeight="1" x14ac:dyDescent="0.3">
      <c r="A6" s="87"/>
      <c r="B6" s="84" t="s">
        <v>1</v>
      </c>
      <c r="C6" s="84" t="s">
        <v>2</v>
      </c>
      <c r="D6" s="83" t="s">
        <v>3</v>
      </c>
      <c r="E6" s="83" t="s">
        <v>4</v>
      </c>
      <c r="F6" s="83" t="s">
        <v>5</v>
      </c>
      <c r="G6" s="90" t="s">
        <v>6</v>
      </c>
      <c r="H6" s="556" t="s">
        <v>7</v>
      </c>
    </row>
    <row r="7" spans="1:8" s="340" customFormat="1" ht="41.45" customHeight="1" x14ac:dyDescent="0.2">
      <c r="A7" s="338"/>
      <c r="B7" s="404" t="s">
        <v>8</v>
      </c>
      <c r="C7" s="339" t="s">
        <v>9</v>
      </c>
      <c r="D7" s="27" t="s">
        <v>10</v>
      </c>
      <c r="E7" s="27" t="s">
        <v>11</v>
      </c>
      <c r="F7" s="54">
        <v>0.8</v>
      </c>
      <c r="G7" s="339" t="s">
        <v>12</v>
      </c>
      <c r="H7" s="541" t="s">
        <v>632</v>
      </c>
    </row>
    <row r="8" spans="1:8" s="342" customFormat="1" ht="27" x14ac:dyDescent="0.2">
      <c r="A8" s="341"/>
      <c r="B8" s="402" t="s">
        <v>13</v>
      </c>
      <c r="C8" s="339" t="s">
        <v>14</v>
      </c>
      <c r="D8" s="27" t="s">
        <v>10</v>
      </c>
      <c r="E8" s="27" t="s">
        <v>11</v>
      </c>
      <c r="F8" s="54">
        <v>0.8</v>
      </c>
      <c r="G8" s="339" t="s">
        <v>12</v>
      </c>
      <c r="H8" s="541" t="s">
        <v>633</v>
      </c>
    </row>
    <row r="9" spans="1:8" s="342" customFormat="1" ht="54" x14ac:dyDescent="0.2">
      <c r="A9" s="341"/>
      <c r="B9" s="343" t="s">
        <v>15</v>
      </c>
      <c r="C9" s="353" t="s">
        <v>16</v>
      </c>
      <c r="D9" s="27" t="s">
        <v>10</v>
      </c>
      <c r="E9" s="27" t="s">
        <v>11</v>
      </c>
      <c r="F9" s="27" t="s">
        <v>17</v>
      </c>
      <c r="G9" s="339" t="s">
        <v>12</v>
      </c>
      <c r="H9" s="541" t="s">
        <v>18</v>
      </c>
    </row>
    <row r="10" spans="1:8" s="342" customFormat="1" ht="54" x14ac:dyDescent="0.25">
      <c r="A10" s="341"/>
      <c r="B10" s="343" t="s">
        <v>19</v>
      </c>
      <c r="C10" s="352" t="s">
        <v>20</v>
      </c>
      <c r="D10" s="27" t="s">
        <v>10</v>
      </c>
      <c r="E10" s="27" t="s">
        <v>11</v>
      </c>
      <c r="F10" s="54">
        <v>0.9</v>
      </c>
      <c r="G10" s="339" t="s">
        <v>12</v>
      </c>
      <c r="H10" s="541" t="s">
        <v>18</v>
      </c>
    </row>
    <row r="11" spans="1:8" s="345" customFormat="1" ht="43.5" customHeight="1" x14ac:dyDescent="0.2">
      <c r="A11" s="344"/>
      <c r="B11" s="402" t="s">
        <v>21</v>
      </c>
      <c r="C11" s="339" t="s">
        <v>22</v>
      </c>
      <c r="D11" s="27" t="s">
        <v>23</v>
      </c>
      <c r="E11" s="27" t="s">
        <v>11</v>
      </c>
      <c r="F11" s="54">
        <v>0.9</v>
      </c>
      <c r="G11" s="339" t="s">
        <v>24</v>
      </c>
      <c r="H11" s="541" t="s">
        <v>633</v>
      </c>
    </row>
    <row r="12" spans="1:8" s="345" customFormat="1" ht="43.5" customHeight="1" x14ac:dyDescent="0.2">
      <c r="A12" s="344"/>
      <c r="B12" s="343" t="s">
        <v>25</v>
      </c>
      <c r="C12" s="339" t="s">
        <v>26</v>
      </c>
      <c r="D12" s="27" t="s">
        <v>23</v>
      </c>
      <c r="E12" s="27" t="s">
        <v>11</v>
      </c>
      <c r="F12" s="27" t="s">
        <v>27</v>
      </c>
      <c r="G12" s="339" t="s">
        <v>24</v>
      </c>
      <c r="H12" s="541" t="s">
        <v>632</v>
      </c>
    </row>
    <row r="13" spans="1:8" s="345" customFormat="1" ht="43.5" customHeight="1" x14ac:dyDescent="0.25">
      <c r="A13" s="344"/>
      <c r="B13" s="343" t="s">
        <v>28</v>
      </c>
      <c r="C13" s="550" t="s">
        <v>29</v>
      </c>
      <c r="D13" s="27" t="s">
        <v>23</v>
      </c>
      <c r="E13" s="27" t="s">
        <v>612</v>
      </c>
      <c r="F13" s="27" t="s">
        <v>27</v>
      </c>
      <c r="G13" s="339" t="s">
        <v>24</v>
      </c>
      <c r="H13" s="541" t="s">
        <v>629</v>
      </c>
    </row>
    <row r="14" spans="1:8" s="348" customFormat="1" ht="44.25" customHeight="1" x14ac:dyDescent="0.3">
      <c r="A14" s="346"/>
      <c r="B14" s="402" t="s">
        <v>30</v>
      </c>
      <c r="C14" s="339" t="s">
        <v>31</v>
      </c>
      <c r="D14" s="347" t="s">
        <v>32</v>
      </c>
      <c r="E14" s="27" t="s">
        <v>11</v>
      </c>
      <c r="F14" s="27" t="s">
        <v>33</v>
      </c>
      <c r="G14" s="339" t="s">
        <v>34</v>
      </c>
      <c r="H14" s="541" t="s">
        <v>630</v>
      </c>
    </row>
    <row r="15" spans="1:8" s="348" customFormat="1" ht="39.6" customHeight="1" x14ac:dyDescent="0.3">
      <c r="A15" s="346"/>
      <c r="B15" s="402" t="s">
        <v>35</v>
      </c>
      <c r="C15" s="349" t="s">
        <v>36</v>
      </c>
      <c r="D15" s="347" t="s">
        <v>32</v>
      </c>
      <c r="E15" s="27" t="s">
        <v>11</v>
      </c>
      <c r="F15" s="27" t="s">
        <v>37</v>
      </c>
      <c r="G15" s="339" t="s">
        <v>34</v>
      </c>
      <c r="H15" s="541" t="s">
        <v>630</v>
      </c>
    </row>
    <row r="16" spans="1:8" s="348" customFormat="1" ht="39.6" customHeight="1" x14ac:dyDescent="0.3">
      <c r="A16" s="346"/>
      <c r="B16" s="402" t="s">
        <v>38</v>
      </c>
      <c r="C16" s="349" t="s">
        <v>39</v>
      </c>
      <c r="D16" s="347" t="s">
        <v>32</v>
      </c>
      <c r="E16" s="27" t="s">
        <v>11</v>
      </c>
      <c r="F16" s="27" t="s">
        <v>40</v>
      </c>
      <c r="G16" s="339" t="s">
        <v>34</v>
      </c>
      <c r="H16" s="541" t="s">
        <v>631</v>
      </c>
    </row>
    <row r="17" spans="1:8" s="348" customFormat="1" ht="41.45" customHeight="1" x14ac:dyDescent="0.3">
      <c r="A17" s="346"/>
      <c r="B17" s="402" t="s">
        <v>41</v>
      </c>
      <c r="C17" s="349" t="s">
        <v>42</v>
      </c>
      <c r="D17" s="347" t="s">
        <v>32</v>
      </c>
      <c r="E17" s="27" t="s">
        <v>11</v>
      </c>
      <c r="F17" s="27" t="s">
        <v>43</v>
      </c>
      <c r="G17" s="339" t="s">
        <v>34</v>
      </c>
      <c r="H17" s="541" t="s">
        <v>631</v>
      </c>
    </row>
    <row r="18" spans="1:8" s="348" customFormat="1" ht="41.45" customHeight="1" x14ac:dyDescent="0.3">
      <c r="A18" s="346"/>
      <c r="B18" s="402" t="s">
        <v>44</v>
      </c>
      <c r="C18" s="551" t="s">
        <v>45</v>
      </c>
      <c r="D18" s="347" t="s">
        <v>32</v>
      </c>
      <c r="E18" s="27" t="s">
        <v>11</v>
      </c>
      <c r="F18" s="27" t="s">
        <v>46</v>
      </c>
      <c r="G18" s="339" t="s">
        <v>34</v>
      </c>
      <c r="H18" s="541" t="s">
        <v>631</v>
      </c>
    </row>
    <row r="19" spans="1:8" s="348" customFormat="1" ht="41.45" customHeight="1" x14ac:dyDescent="0.3">
      <c r="A19" s="346"/>
      <c r="B19" s="402" t="s">
        <v>47</v>
      </c>
      <c r="C19" s="352" t="s">
        <v>48</v>
      </c>
      <c r="D19" s="347" t="s">
        <v>32</v>
      </c>
      <c r="E19" s="27" t="s">
        <v>614</v>
      </c>
      <c r="F19" s="27" t="s">
        <v>46</v>
      </c>
      <c r="G19" s="339" t="s">
        <v>34</v>
      </c>
      <c r="H19" s="541" t="s">
        <v>631</v>
      </c>
    </row>
    <row r="20" spans="1:8" s="348" customFormat="1" ht="41.45" customHeight="1" x14ac:dyDescent="0.3">
      <c r="A20" s="346"/>
      <c r="B20" s="402" t="s">
        <v>49</v>
      </c>
      <c r="C20" s="524" t="s">
        <v>50</v>
      </c>
      <c r="D20" s="347" t="s">
        <v>32</v>
      </c>
      <c r="E20" s="27" t="s">
        <v>11</v>
      </c>
      <c r="F20" s="27" t="s">
        <v>51</v>
      </c>
      <c r="G20" s="339" t="s">
        <v>34</v>
      </c>
      <c r="H20" s="541" t="s">
        <v>631</v>
      </c>
    </row>
    <row r="21" spans="1:8" s="345" customFormat="1" ht="37.5" customHeight="1" x14ac:dyDescent="0.2">
      <c r="A21" s="344"/>
      <c r="B21" s="402" t="s">
        <v>52</v>
      </c>
      <c r="C21" s="339" t="s">
        <v>53</v>
      </c>
      <c r="D21" s="27" t="s">
        <v>23</v>
      </c>
      <c r="E21" s="27" t="s">
        <v>54</v>
      </c>
      <c r="F21" s="54">
        <v>1</v>
      </c>
      <c r="G21" s="339" t="s">
        <v>55</v>
      </c>
      <c r="H21" s="541" t="s">
        <v>631</v>
      </c>
    </row>
    <row r="22" spans="1:8" s="345" customFormat="1" ht="48.6" customHeight="1" x14ac:dyDescent="0.2">
      <c r="A22" s="344"/>
      <c r="B22" s="402" t="s">
        <v>56</v>
      </c>
      <c r="C22" s="339" t="s">
        <v>57</v>
      </c>
      <c r="D22" s="27" t="s">
        <v>23</v>
      </c>
      <c r="E22" s="27" t="s">
        <v>11</v>
      </c>
      <c r="F22" s="54" t="s">
        <v>43</v>
      </c>
      <c r="G22" s="339" t="s">
        <v>55</v>
      </c>
      <c r="H22" s="541" t="s">
        <v>629</v>
      </c>
    </row>
    <row r="23" spans="1:8" s="345" customFormat="1" ht="72" customHeight="1" x14ac:dyDescent="0.2">
      <c r="A23" s="344"/>
      <c r="B23" s="402" t="s">
        <v>58</v>
      </c>
      <c r="C23" s="339" t="s">
        <v>59</v>
      </c>
      <c r="D23" s="27" t="s">
        <v>23</v>
      </c>
      <c r="E23" s="27" t="s">
        <v>11</v>
      </c>
      <c r="F23" s="54" t="s">
        <v>60</v>
      </c>
      <c r="G23" s="339" t="s">
        <v>61</v>
      </c>
      <c r="H23" s="541" t="s">
        <v>628</v>
      </c>
    </row>
    <row r="24" spans="1:8" s="345" customFormat="1" ht="54" x14ac:dyDescent="0.2">
      <c r="A24" s="344"/>
      <c r="B24" s="402" t="s">
        <v>62</v>
      </c>
      <c r="C24" s="339" t="s">
        <v>63</v>
      </c>
      <c r="D24" s="27" t="s">
        <v>23</v>
      </c>
      <c r="E24" s="27" t="s">
        <v>11</v>
      </c>
      <c r="F24" s="54" t="s">
        <v>60</v>
      </c>
      <c r="G24" s="339" t="s">
        <v>55</v>
      </c>
      <c r="H24" s="541" t="s">
        <v>628</v>
      </c>
    </row>
    <row r="25" spans="1:8" s="345" customFormat="1" ht="40.5" x14ac:dyDescent="0.2">
      <c r="A25" s="344"/>
      <c r="B25" s="343" t="s">
        <v>64</v>
      </c>
      <c r="C25" s="353" t="s">
        <v>65</v>
      </c>
      <c r="D25" s="27" t="s">
        <v>23</v>
      </c>
      <c r="E25" s="27" t="s">
        <v>615</v>
      </c>
      <c r="F25" s="54" t="s">
        <v>66</v>
      </c>
      <c r="G25" s="339" t="s">
        <v>55</v>
      </c>
      <c r="H25" s="541" t="s">
        <v>18</v>
      </c>
    </row>
    <row r="26" spans="1:8" s="345" customFormat="1" ht="54" x14ac:dyDescent="0.2">
      <c r="A26" s="344"/>
      <c r="B26" s="402" t="s">
        <v>67</v>
      </c>
      <c r="C26" s="339" t="s">
        <v>68</v>
      </c>
      <c r="D26" s="27" t="s">
        <v>23</v>
      </c>
      <c r="E26" s="27" t="s">
        <v>11</v>
      </c>
      <c r="F26" s="27" t="s">
        <v>69</v>
      </c>
      <c r="G26" s="339" t="s">
        <v>61</v>
      </c>
      <c r="H26" s="541" t="s">
        <v>628</v>
      </c>
    </row>
    <row r="27" spans="1:8" s="345" customFormat="1" ht="54" x14ac:dyDescent="0.3">
      <c r="A27" s="344"/>
      <c r="B27" s="402" t="s">
        <v>70</v>
      </c>
      <c r="C27" s="339" t="s">
        <v>616</v>
      </c>
      <c r="D27" s="347" t="s">
        <v>32</v>
      </c>
      <c r="E27" s="27" t="s">
        <v>71</v>
      </c>
      <c r="F27" s="27">
        <v>10</v>
      </c>
      <c r="G27" s="361" t="s">
        <v>72</v>
      </c>
      <c r="H27" s="541" t="s">
        <v>631</v>
      </c>
    </row>
    <row r="28" spans="1:8" s="345" customFormat="1" ht="54" x14ac:dyDescent="0.3">
      <c r="A28" s="344"/>
      <c r="B28" s="402" t="s">
        <v>73</v>
      </c>
      <c r="C28" s="339" t="s">
        <v>74</v>
      </c>
      <c r="D28" s="347" t="s">
        <v>32</v>
      </c>
      <c r="E28" s="27" t="s">
        <v>11</v>
      </c>
      <c r="F28" s="27" t="s">
        <v>60</v>
      </c>
      <c r="G28" s="361" t="s">
        <v>72</v>
      </c>
      <c r="H28" s="541" t="s">
        <v>628</v>
      </c>
    </row>
    <row r="29" spans="1:8" s="345" customFormat="1" ht="30" customHeight="1" x14ac:dyDescent="0.2">
      <c r="A29" s="344"/>
      <c r="B29" s="402" t="s">
        <v>75</v>
      </c>
      <c r="C29" s="339" t="s">
        <v>76</v>
      </c>
      <c r="D29" s="27" t="s">
        <v>32</v>
      </c>
      <c r="E29" s="27" t="s">
        <v>11</v>
      </c>
      <c r="F29" s="54" t="s">
        <v>77</v>
      </c>
      <c r="G29" s="361" t="s">
        <v>78</v>
      </c>
      <c r="H29" s="541" t="s">
        <v>631</v>
      </c>
    </row>
    <row r="30" spans="1:8" s="345" customFormat="1" ht="30" customHeight="1" x14ac:dyDescent="0.3">
      <c r="A30" s="344"/>
      <c r="B30" s="402" t="s">
        <v>79</v>
      </c>
      <c r="C30" s="339" t="s">
        <v>80</v>
      </c>
      <c r="D30" s="347" t="s">
        <v>32</v>
      </c>
      <c r="E30" s="27" t="s">
        <v>11</v>
      </c>
      <c r="F30" s="27" t="s">
        <v>81</v>
      </c>
      <c r="G30" s="361" t="s">
        <v>78</v>
      </c>
      <c r="H30" s="541" t="s">
        <v>631</v>
      </c>
    </row>
    <row r="31" spans="1:8" s="345" customFormat="1" ht="30" customHeight="1" x14ac:dyDescent="0.3">
      <c r="A31" s="344"/>
      <c r="B31" s="402" t="s">
        <v>82</v>
      </c>
      <c r="C31" s="339" t="s">
        <v>83</v>
      </c>
      <c r="D31" s="347" t="s">
        <v>32</v>
      </c>
      <c r="E31" s="27" t="s">
        <v>11</v>
      </c>
      <c r="F31" s="54">
        <v>0.75</v>
      </c>
      <c r="G31" s="361" t="s">
        <v>78</v>
      </c>
      <c r="H31" s="541" t="s">
        <v>631</v>
      </c>
    </row>
    <row r="32" spans="1:8" s="345" customFormat="1" ht="41.25" x14ac:dyDescent="0.3">
      <c r="A32" s="344"/>
      <c r="B32" s="402" t="s">
        <v>84</v>
      </c>
      <c r="C32" s="552" t="s">
        <v>617</v>
      </c>
      <c r="D32" s="347" t="s">
        <v>32</v>
      </c>
      <c r="E32" s="27" t="s">
        <v>11</v>
      </c>
      <c r="F32" s="54" t="s">
        <v>85</v>
      </c>
      <c r="G32" s="361" t="s">
        <v>78</v>
      </c>
      <c r="H32" s="541" t="s">
        <v>628</v>
      </c>
    </row>
    <row r="33" spans="1:8" s="345" customFormat="1" ht="67.5" x14ac:dyDescent="0.2">
      <c r="A33" s="344"/>
      <c r="B33" s="402" t="s">
        <v>86</v>
      </c>
      <c r="C33" s="339" t="s">
        <v>618</v>
      </c>
      <c r="D33" s="27" t="s">
        <v>23</v>
      </c>
      <c r="E33" s="27" t="s">
        <v>11</v>
      </c>
      <c r="F33" s="54">
        <v>1</v>
      </c>
      <c r="G33" s="361" t="s">
        <v>87</v>
      </c>
      <c r="H33" s="541" t="s">
        <v>631</v>
      </c>
    </row>
    <row r="34" spans="1:8" s="345" customFormat="1" ht="27" x14ac:dyDescent="0.2">
      <c r="A34" s="344"/>
      <c r="B34" s="402" t="s">
        <v>88</v>
      </c>
      <c r="C34" s="339" t="s">
        <v>89</v>
      </c>
      <c r="D34" s="27" t="s">
        <v>23</v>
      </c>
      <c r="E34" s="27" t="s">
        <v>90</v>
      </c>
      <c r="F34" s="27">
        <v>0.8</v>
      </c>
      <c r="G34" s="339" t="s">
        <v>91</v>
      </c>
      <c r="H34" s="541" t="s">
        <v>631</v>
      </c>
    </row>
    <row r="35" spans="1:8" s="345" customFormat="1" ht="40.5" x14ac:dyDescent="0.2">
      <c r="A35" s="344"/>
      <c r="B35" s="402" t="s">
        <v>92</v>
      </c>
      <c r="C35" s="339" t="s">
        <v>93</v>
      </c>
      <c r="D35" s="27" t="s">
        <v>23</v>
      </c>
      <c r="E35" s="27" t="s">
        <v>90</v>
      </c>
      <c r="F35" s="27" t="s">
        <v>94</v>
      </c>
      <c r="G35" s="339" t="s">
        <v>91</v>
      </c>
      <c r="H35" s="541" t="s">
        <v>631</v>
      </c>
    </row>
    <row r="36" spans="1:8" s="345" customFormat="1" ht="40.5" x14ac:dyDescent="0.2">
      <c r="A36" s="344"/>
      <c r="B36" s="402" t="s">
        <v>95</v>
      </c>
      <c r="C36" s="339" t="s">
        <v>96</v>
      </c>
      <c r="D36" s="27" t="s">
        <v>23</v>
      </c>
      <c r="E36" s="27" t="s">
        <v>90</v>
      </c>
      <c r="F36" s="54">
        <v>0.2</v>
      </c>
      <c r="G36" s="339" t="s">
        <v>91</v>
      </c>
      <c r="H36" s="541" t="s">
        <v>631</v>
      </c>
    </row>
    <row r="37" spans="1:8" s="345" customFormat="1" ht="27" x14ac:dyDescent="0.2">
      <c r="A37" s="344"/>
      <c r="B37" s="402" t="s">
        <v>97</v>
      </c>
      <c r="C37" s="339" t="s">
        <v>98</v>
      </c>
      <c r="D37" s="27" t="s">
        <v>23</v>
      </c>
      <c r="E37" s="27" t="s">
        <v>90</v>
      </c>
      <c r="F37" s="54">
        <v>0.7</v>
      </c>
      <c r="G37" s="339" t="s">
        <v>91</v>
      </c>
      <c r="H37" s="541" t="s">
        <v>631</v>
      </c>
    </row>
    <row r="38" spans="1:8" s="345" customFormat="1" ht="40.5" x14ac:dyDescent="0.25">
      <c r="A38" s="344"/>
      <c r="B38" s="343" t="s">
        <v>99</v>
      </c>
      <c r="C38" s="352" t="s">
        <v>100</v>
      </c>
      <c r="D38" s="27" t="s">
        <v>23</v>
      </c>
      <c r="E38" s="27" t="s">
        <v>90</v>
      </c>
      <c r="F38" s="54">
        <v>0.15</v>
      </c>
      <c r="G38" s="339" t="s">
        <v>91</v>
      </c>
      <c r="H38" s="541" t="s">
        <v>18</v>
      </c>
    </row>
    <row r="39" spans="1:8" s="345" customFormat="1" ht="52.5" customHeight="1" x14ac:dyDescent="0.2">
      <c r="A39" s="350"/>
      <c r="B39" s="402" t="s">
        <v>101</v>
      </c>
      <c r="C39" s="339" t="s">
        <v>102</v>
      </c>
      <c r="D39" s="27" t="s">
        <v>103</v>
      </c>
      <c r="E39" s="27" t="s">
        <v>11</v>
      </c>
      <c r="F39" s="27" t="s">
        <v>60</v>
      </c>
      <c r="G39" s="362" t="s">
        <v>104</v>
      </c>
      <c r="H39" s="541" t="s">
        <v>628</v>
      </c>
    </row>
    <row r="40" spans="1:8" ht="41.25" customHeight="1" x14ac:dyDescent="0.2">
      <c r="A40" s="351"/>
      <c r="B40" s="402" t="s">
        <v>105</v>
      </c>
      <c r="C40" s="339" t="s">
        <v>106</v>
      </c>
      <c r="D40" s="27" t="s">
        <v>107</v>
      </c>
      <c r="E40" s="27" t="s">
        <v>108</v>
      </c>
      <c r="F40" s="27">
        <v>100</v>
      </c>
      <c r="G40" s="362" t="s">
        <v>109</v>
      </c>
      <c r="H40" s="541" t="s">
        <v>631</v>
      </c>
    </row>
    <row r="41" spans="1:8" s="345" customFormat="1" ht="51.75" customHeight="1" x14ac:dyDescent="0.2">
      <c r="A41" s="350"/>
      <c r="B41" s="402" t="s">
        <v>110</v>
      </c>
      <c r="C41" s="339" t="s">
        <v>111</v>
      </c>
      <c r="D41" s="27" t="s">
        <v>107</v>
      </c>
      <c r="E41" s="27" t="s">
        <v>11</v>
      </c>
      <c r="F41" s="27" t="s">
        <v>60</v>
      </c>
      <c r="G41" s="362" t="s">
        <v>109</v>
      </c>
      <c r="H41" s="541" t="s">
        <v>628</v>
      </c>
    </row>
    <row r="42" spans="1:8" s="345" customFormat="1" ht="51.75" customHeight="1" x14ac:dyDescent="0.2">
      <c r="A42" s="350"/>
      <c r="B42" s="403" t="s">
        <v>112</v>
      </c>
      <c r="C42" s="197" t="s">
        <v>113</v>
      </c>
      <c r="D42" s="27" t="s">
        <v>107</v>
      </c>
      <c r="E42" s="27" t="s">
        <v>11</v>
      </c>
      <c r="F42" s="54" t="s">
        <v>619</v>
      </c>
      <c r="G42" s="362" t="s">
        <v>109</v>
      </c>
      <c r="H42" s="541" t="s">
        <v>631</v>
      </c>
    </row>
    <row r="43" spans="1:8" s="345" customFormat="1" ht="51.75" customHeight="1" x14ac:dyDescent="0.2">
      <c r="A43" s="350"/>
      <c r="B43" s="557" t="s">
        <v>114</v>
      </c>
      <c r="C43" s="197" t="s">
        <v>115</v>
      </c>
      <c r="D43" s="27" t="s">
        <v>107</v>
      </c>
      <c r="E43" s="27" t="s">
        <v>11</v>
      </c>
      <c r="F43" s="27" t="s">
        <v>116</v>
      </c>
      <c r="G43" s="362" t="s">
        <v>109</v>
      </c>
      <c r="H43" s="541" t="s">
        <v>631</v>
      </c>
    </row>
    <row r="44" spans="1:8" s="345" customFormat="1" ht="51.75" customHeight="1" x14ac:dyDescent="0.2">
      <c r="A44" s="350"/>
      <c r="B44" s="557" t="s">
        <v>117</v>
      </c>
      <c r="C44" s="197" t="s">
        <v>118</v>
      </c>
      <c r="D44" s="27" t="s">
        <v>107</v>
      </c>
      <c r="E44" s="27" t="s">
        <v>11</v>
      </c>
      <c r="F44" s="27" t="s">
        <v>119</v>
      </c>
      <c r="G44" s="362" t="s">
        <v>109</v>
      </c>
      <c r="H44" s="541" t="s">
        <v>631</v>
      </c>
    </row>
    <row r="45" spans="1:8" s="345" customFormat="1" ht="30" customHeight="1" x14ac:dyDescent="0.2">
      <c r="A45" s="350"/>
      <c r="B45" s="402" t="s">
        <v>120</v>
      </c>
      <c r="C45" s="339" t="s">
        <v>121</v>
      </c>
      <c r="D45" s="27" t="s">
        <v>23</v>
      </c>
      <c r="E45" s="27" t="s">
        <v>11</v>
      </c>
      <c r="F45" s="27" t="s">
        <v>122</v>
      </c>
      <c r="G45" s="362" t="s">
        <v>123</v>
      </c>
      <c r="H45" s="541" t="s">
        <v>631</v>
      </c>
    </row>
    <row r="46" spans="1:8" s="345" customFormat="1" ht="81" x14ac:dyDescent="0.2">
      <c r="A46" s="350"/>
      <c r="B46" s="402" t="s">
        <v>124</v>
      </c>
      <c r="C46" s="339" t="s">
        <v>125</v>
      </c>
      <c r="D46" s="27" t="s">
        <v>23</v>
      </c>
      <c r="E46" s="27" t="s">
        <v>11</v>
      </c>
      <c r="F46" s="27" t="s">
        <v>126</v>
      </c>
      <c r="G46" s="362" t="s">
        <v>123</v>
      </c>
      <c r="H46" s="541" t="s">
        <v>628</v>
      </c>
    </row>
    <row r="47" spans="1:8" s="345" customFormat="1" ht="81" x14ac:dyDescent="0.2">
      <c r="A47" s="350"/>
      <c r="B47" s="402" t="s">
        <v>127</v>
      </c>
      <c r="C47" s="339" t="s">
        <v>128</v>
      </c>
      <c r="D47" s="27" t="s">
        <v>23</v>
      </c>
      <c r="E47" s="27" t="s">
        <v>11</v>
      </c>
      <c r="F47" s="27" t="s">
        <v>129</v>
      </c>
      <c r="G47" s="362" t="s">
        <v>123</v>
      </c>
      <c r="H47" s="541" t="s">
        <v>628</v>
      </c>
    </row>
    <row r="48" spans="1:8" s="345" customFormat="1" ht="27" x14ac:dyDescent="0.25">
      <c r="A48" s="350"/>
      <c r="B48" s="343" t="s">
        <v>130</v>
      </c>
      <c r="C48" s="352" t="s">
        <v>131</v>
      </c>
      <c r="D48" s="27" t="s">
        <v>132</v>
      </c>
      <c r="E48" s="197" t="s">
        <v>133</v>
      </c>
      <c r="F48" s="27" t="s">
        <v>134</v>
      </c>
      <c r="G48" s="362" t="s">
        <v>135</v>
      </c>
      <c r="H48" s="541" t="s">
        <v>631</v>
      </c>
    </row>
    <row r="49" spans="1:8" s="345" customFormat="1" ht="40.5" x14ac:dyDescent="0.2">
      <c r="A49" s="350"/>
      <c r="B49" s="402" t="s">
        <v>136</v>
      </c>
      <c r="C49" s="353" t="s">
        <v>137</v>
      </c>
      <c r="D49" s="27" t="s">
        <v>132</v>
      </c>
      <c r="E49" s="197" t="s">
        <v>133</v>
      </c>
      <c r="F49" s="27">
        <v>1</v>
      </c>
      <c r="G49" s="362" t="s">
        <v>135</v>
      </c>
      <c r="H49" s="541" t="s">
        <v>18</v>
      </c>
    </row>
    <row r="50" spans="1:8" s="345" customFormat="1" ht="30" customHeight="1" x14ac:dyDescent="0.2">
      <c r="A50" s="350"/>
      <c r="B50" s="402" t="s">
        <v>138</v>
      </c>
      <c r="C50" s="339" t="s">
        <v>139</v>
      </c>
      <c r="D50" s="27" t="s">
        <v>10</v>
      </c>
      <c r="E50" s="27" t="s">
        <v>90</v>
      </c>
      <c r="F50" s="54">
        <v>1</v>
      </c>
      <c r="G50" s="362" t="s">
        <v>140</v>
      </c>
      <c r="H50" s="541" t="s">
        <v>631</v>
      </c>
    </row>
    <row r="51" spans="1:8" s="345" customFormat="1" ht="64.5" customHeight="1" x14ac:dyDescent="0.2">
      <c r="A51" s="350"/>
      <c r="B51" s="402" t="s">
        <v>141</v>
      </c>
      <c r="C51" s="339" t="s">
        <v>142</v>
      </c>
      <c r="D51" s="27" t="s">
        <v>10</v>
      </c>
      <c r="E51" s="27" t="s">
        <v>11</v>
      </c>
      <c r="F51" s="27" t="s">
        <v>60</v>
      </c>
      <c r="G51" s="362" t="s">
        <v>140</v>
      </c>
      <c r="H51" s="541" t="s">
        <v>628</v>
      </c>
    </row>
    <row r="52" spans="1:8" ht="46.5" customHeight="1" x14ac:dyDescent="0.2">
      <c r="A52" s="2"/>
      <c r="B52" s="402" t="s">
        <v>143</v>
      </c>
      <c r="C52" s="339" t="s">
        <v>144</v>
      </c>
      <c r="D52" s="27" t="s">
        <v>10</v>
      </c>
      <c r="E52" s="27" t="s">
        <v>145</v>
      </c>
      <c r="F52" s="54">
        <v>1</v>
      </c>
      <c r="G52" s="339" t="s">
        <v>146</v>
      </c>
      <c r="H52" s="541" t="s">
        <v>629</v>
      </c>
    </row>
    <row r="53" spans="1:8" ht="46.5" customHeight="1" x14ac:dyDescent="0.2">
      <c r="A53" s="2"/>
      <c r="B53" s="343" t="s">
        <v>147</v>
      </c>
      <c r="C53" s="553" t="s">
        <v>621</v>
      </c>
      <c r="D53" s="27" t="s">
        <v>10</v>
      </c>
      <c r="E53" s="27" t="s">
        <v>145</v>
      </c>
      <c r="F53" s="54">
        <v>1</v>
      </c>
      <c r="G53" s="339" t="s">
        <v>146</v>
      </c>
      <c r="H53" s="541" t="s">
        <v>629</v>
      </c>
    </row>
    <row r="54" spans="1:8" ht="46.5" customHeight="1" x14ac:dyDescent="0.25">
      <c r="A54" s="2"/>
      <c r="B54" s="343" t="s">
        <v>148</v>
      </c>
      <c r="C54" s="352" t="s">
        <v>149</v>
      </c>
      <c r="D54" s="27" t="s">
        <v>10</v>
      </c>
      <c r="E54" s="27" t="s">
        <v>145</v>
      </c>
      <c r="F54" s="54">
        <v>1</v>
      </c>
      <c r="G54" s="339" t="s">
        <v>146</v>
      </c>
      <c r="H54" s="541" t="s">
        <v>629</v>
      </c>
    </row>
    <row r="55" spans="1:8" ht="54" x14ac:dyDescent="0.2">
      <c r="A55" s="2"/>
      <c r="B55" s="343" t="s">
        <v>150</v>
      </c>
      <c r="C55" s="353" t="s">
        <v>151</v>
      </c>
      <c r="D55" s="27" t="s">
        <v>10</v>
      </c>
      <c r="E55" s="27" t="s">
        <v>145</v>
      </c>
      <c r="F55" s="27">
        <v>15</v>
      </c>
      <c r="G55" s="339" t="s">
        <v>146</v>
      </c>
      <c r="H55" s="541" t="s">
        <v>629</v>
      </c>
    </row>
    <row r="56" spans="1:8" s="345" customFormat="1" ht="54.95" customHeight="1" x14ac:dyDescent="0.2">
      <c r="A56" s="344"/>
      <c r="B56" s="402" t="s">
        <v>152</v>
      </c>
      <c r="C56" s="339" t="s">
        <v>153</v>
      </c>
      <c r="D56" s="27" t="s">
        <v>10</v>
      </c>
      <c r="E56" s="197" t="s">
        <v>133</v>
      </c>
      <c r="F56" s="54">
        <v>0.3</v>
      </c>
      <c r="G56" s="362" t="s">
        <v>154</v>
      </c>
      <c r="H56" s="541" t="s">
        <v>629</v>
      </c>
    </row>
    <row r="57" spans="1:8" s="345" customFormat="1" ht="37.5" customHeight="1" x14ac:dyDescent="0.2">
      <c r="A57" s="344"/>
      <c r="B57" s="402" t="s">
        <v>155</v>
      </c>
      <c r="C57" s="339" t="s">
        <v>156</v>
      </c>
      <c r="D57" s="27" t="s">
        <v>10</v>
      </c>
      <c r="E57" s="27" t="s">
        <v>11</v>
      </c>
      <c r="F57" s="54" t="s">
        <v>157</v>
      </c>
      <c r="G57" s="362" t="s">
        <v>154</v>
      </c>
      <c r="H57" s="541" t="s">
        <v>629</v>
      </c>
    </row>
    <row r="58" spans="1:8" s="345" customFormat="1" ht="30" customHeight="1" x14ac:dyDescent="0.2">
      <c r="A58" s="344"/>
      <c r="B58" s="402" t="s">
        <v>158</v>
      </c>
      <c r="C58" s="339" t="s">
        <v>159</v>
      </c>
      <c r="D58" s="27" t="s">
        <v>10</v>
      </c>
      <c r="E58" s="27" t="s">
        <v>11</v>
      </c>
      <c r="F58" s="54" t="s">
        <v>160</v>
      </c>
      <c r="G58" s="362" t="s">
        <v>154</v>
      </c>
      <c r="H58" s="541" t="s">
        <v>629</v>
      </c>
    </row>
    <row r="59" spans="1:8" s="354" customFormat="1" ht="69" customHeight="1" x14ac:dyDescent="0.2">
      <c r="A59" s="360" cm="1">
        <f t="array" aca="1" ref="A59" ca="1">59:61</f>
        <v>0</v>
      </c>
      <c r="B59" s="402" t="s">
        <v>161</v>
      </c>
      <c r="C59" s="339" t="s">
        <v>162</v>
      </c>
      <c r="D59" s="27" t="s">
        <v>10</v>
      </c>
      <c r="E59" s="27" t="s">
        <v>11</v>
      </c>
      <c r="F59" s="27" t="s">
        <v>60</v>
      </c>
      <c r="G59" s="362" t="s">
        <v>154</v>
      </c>
      <c r="H59" s="541" t="s">
        <v>628</v>
      </c>
    </row>
    <row r="60" spans="1:8" s="354" customFormat="1" ht="69" customHeight="1" x14ac:dyDescent="0.2">
      <c r="A60" s="360"/>
      <c r="B60" s="343" t="s">
        <v>163</v>
      </c>
      <c r="C60" s="554" t="s">
        <v>622</v>
      </c>
      <c r="D60" s="27" t="s">
        <v>10</v>
      </c>
      <c r="E60" s="27" t="s">
        <v>133</v>
      </c>
      <c r="F60" s="27">
        <v>4</v>
      </c>
      <c r="G60" s="362" t="s">
        <v>154</v>
      </c>
      <c r="H60" s="541" t="s">
        <v>18</v>
      </c>
    </row>
    <row r="61" spans="1:8" s="354" customFormat="1" ht="69" customHeight="1" x14ac:dyDescent="0.25">
      <c r="A61" s="360"/>
      <c r="B61" s="343" t="s">
        <v>164</v>
      </c>
      <c r="C61" s="353" t="s">
        <v>623</v>
      </c>
      <c r="D61" s="27" t="s">
        <v>10</v>
      </c>
      <c r="E61" s="27" t="s">
        <v>133</v>
      </c>
      <c r="F61" s="298" t="s">
        <v>165</v>
      </c>
      <c r="G61" s="362" t="s">
        <v>154</v>
      </c>
      <c r="H61" s="541" t="s">
        <v>18</v>
      </c>
    </row>
    <row r="62" spans="1:8" ht="55.5" customHeight="1" x14ac:dyDescent="0.2">
      <c r="A62" s="2"/>
      <c r="B62" s="402" t="s">
        <v>166</v>
      </c>
      <c r="C62" s="555" t="s">
        <v>624</v>
      </c>
      <c r="D62" s="27" t="s">
        <v>167</v>
      </c>
      <c r="E62" s="27" t="s">
        <v>168</v>
      </c>
      <c r="F62" s="54">
        <v>0.1</v>
      </c>
      <c r="G62" s="362" t="s">
        <v>169</v>
      </c>
      <c r="H62" s="541" t="s">
        <v>629</v>
      </c>
    </row>
    <row r="63" spans="1:8" ht="54.75" customHeight="1" x14ac:dyDescent="0.2">
      <c r="A63" s="2"/>
      <c r="B63" s="402" t="s">
        <v>170</v>
      </c>
      <c r="C63" s="339" t="s">
        <v>171</v>
      </c>
      <c r="D63" s="27" t="s">
        <v>167</v>
      </c>
      <c r="E63" s="27" t="s">
        <v>11</v>
      </c>
      <c r="F63" s="27" t="s">
        <v>69</v>
      </c>
      <c r="G63" s="362" t="s">
        <v>169</v>
      </c>
      <c r="H63" s="541" t="s">
        <v>628</v>
      </c>
    </row>
    <row r="64" spans="1:8" ht="54.75" customHeight="1" x14ac:dyDescent="0.25">
      <c r="A64" s="355" t="s">
        <v>172</v>
      </c>
      <c r="B64" s="403" t="s">
        <v>173</v>
      </c>
      <c r="C64" s="352" t="s">
        <v>174</v>
      </c>
      <c r="D64" s="27" t="s">
        <v>167</v>
      </c>
      <c r="E64" s="27" t="s">
        <v>145</v>
      </c>
      <c r="F64" s="27" t="s">
        <v>175</v>
      </c>
      <c r="G64" s="362" t="s">
        <v>169</v>
      </c>
      <c r="H64" s="541" t="s">
        <v>629</v>
      </c>
    </row>
    <row r="65" spans="1:8" s="345" customFormat="1" ht="81" customHeight="1" x14ac:dyDescent="0.2">
      <c r="A65" s="344"/>
      <c r="B65" s="402" t="s">
        <v>176</v>
      </c>
      <c r="C65" s="339" t="s">
        <v>177</v>
      </c>
      <c r="D65" s="27" t="s">
        <v>167</v>
      </c>
      <c r="E65" s="27" t="s">
        <v>11</v>
      </c>
      <c r="F65" s="27" t="s">
        <v>69</v>
      </c>
      <c r="G65" s="362" t="s">
        <v>178</v>
      </c>
      <c r="H65" s="541" t="s">
        <v>628</v>
      </c>
    </row>
    <row r="66" spans="1:8" s="345" customFormat="1" ht="60" customHeight="1" x14ac:dyDescent="0.2">
      <c r="A66" s="344"/>
      <c r="B66" s="402" t="s">
        <v>179</v>
      </c>
      <c r="C66" s="339" t="s">
        <v>180</v>
      </c>
      <c r="D66" s="27" t="s">
        <v>167</v>
      </c>
      <c r="E66" s="27" t="s">
        <v>11</v>
      </c>
      <c r="F66" s="27" t="s">
        <v>69</v>
      </c>
      <c r="G66" s="362" t="s">
        <v>178</v>
      </c>
      <c r="H66" s="541" t="s">
        <v>628</v>
      </c>
    </row>
    <row r="67" spans="1:8" s="345" customFormat="1" ht="60" customHeight="1" x14ac:dyDescent="0.2">
      <c r="A67" s="344"/>
      <c r="B67" s="343" t="s">
        <v>181</v>
      </c>
      <c r="C67" s="401" t="s">
        <v>182</v>
      </c>
      <c r="D67" s="27" t="s">
        <v>132</v>
      </c>
      <c r="E67" s="27" t="s">
        <v>11</v>
      </c>
      <c r="F67" s="54">
        <v>0.7</v>
      </c>
      <c r="G67" s="362"/>
      <c r="H67" s="541" t="s">
        <v>631</v>
      </c>
    </row>
    <row r="68" spans="1:8" ht="49.5" customHeight="1" x14ac:dyDescent="0.2">
      <c r="A68" s="2"/>
      <c r="B68" s="402" t="s">
        <v>183</v>
      </c>
      <c r="C68" s="339" t="s">
        <v>184</v>
      </c>
      <c r="D68" s="27" t="s">
        <v>132</v>
      </c>
      <c r="E68" s="27" t="s">
        <v>90</v>
      </c>
      <c r="F68" s="27">
        <v>15</v>
      </c>
      <c r="G68" s="362" t="s">
        <v>185</v>
      </c>
      <c r="H68" s="541" t="s">
        <v>631</v>
      </c>
    </row>
    <row r="69" spans="1:8" ht="51" customHeight="1" x14ac:dyDescent="0.2">
      <c r="A69" s="2"/>
      <c r="B69" s="402" t="s">
        <v>186</v>
      </c>
      <c r="C69" s="339" t="s">
        <v>187</v>
      </c>
      <c r="D69" s="27" t="s">
        <v>132</v>
      </c>
      <c r="E69" s="27" t="s">
        <v>11</v>
      </c>
      <c r="F69" s="27">
        <v>3.5</v>
      </c>
      <c r="G69" s="362" t="s">
        <v>188</v>
      </c>
      <c r="H69" s="541" t="s">
        <v>628</v>
      </c>
    </row>
    <row r="70" spans="1:8" ht="51" customHeight="1" x14ac:dyDescent="0.25">
      <c r="A70" s="2"/>
      <c r="B70" s="343" t="s">
        <v>189</v>
      </c>
      <c r="C70" s="352" t="s">
        <v>190</v>
      </c>
      <c r="D70" s="27" t="s">
        <v>132</v>
      </c>
      <c r="E70" s="27" t="s">
        <v>191</v>
      </c>
      <c r="F70" s="27">
        <v>10</v>
      </c>
      <c r="G70" s="362"/>
      <c r="H70" s="541" t="s">
        <v>18</v>
      </c>
    </row>
    <row r="71" spans="1:8" ht="49.5" customHeight="1" x14ac:dyDescent="0.25">
      <c r="A71" s="2"/>
      <c r="B71" s="402" t="s">
        <v>192</v>
      </c>
      <c r="C71" s="352" t="s">
        <v>193</v>
      </c>
      <c r="D71" s="27" t="s">
        <v>132</v>
      </c>
      <c r="E71" s="27" t="s">
        <v>11</v>
      </c>
      <c r="F71" s="54">
        <v>0.4</v>
      </c>
      <c r="G71" s="362" t="s">
        <v>188</v>
      </c>
      <c r="H71" s="541" t="s">
        <v>628</v>
      </c>
    </row>
    <row r="72" spans="1:8" ht="49.5" customHeight="1" x14ac:dyDescent="0.2">
      <c r="A72" s="2"/>
      <c r="B72" s="402" t="s">
        <v>194</v>
      </c>
      <c r="C72" s="339" t="s">
        <v>195</v>
      </c>
      <c r="D72" s="27" t="s">
        <v>132</v>
      </c>
      <c r="E72" s="27" t="s">
        <v>11</v>
      </c>
      <c r="F72" s="54">
        <v>0.4</v>
      </c>
      <c r="G72" s="362" t="s">
        <v>188</v>
      </c>
      <c r="H72" s="541" t="s">
        <v>628</v>
      </c>
    </row>
    <row r="73" spans="1:8" ht="50.25" customHeight="1" x14ac:dyDescent="0.2">
      <c r="A73" s="2"/>
      <c r="B73" s="402" t="s">
        <v>196</v>
      </c>
      <c r="C73" s="339" t="s">
        <v>197</v>
      </c>
      <c r="D73" s="27" t="s">
        <v>132</v>
      </c>
      <c r="E73" s="27" t="s">
        <v>11</v>
      </c>
      <c r="F73" s="27">
        <v>3.5</v>
      </c>
      <c r="G73" s="362" t="s">
        <v>188</v>
      </c>
      <c r="H73" s="541" t="s">
        <v>628</v>
      </c>
    </row>
    <row r="74" spans="1:8" ht="57.75" customHeight="1" x14ac:dyDescent="0.2">
      <c r="A74" s="2"/>
      <c r="B74" s="402" t="s">
        <v>198</v>
      </c>
      <c r="C74" s="339" t="s">
        <v>199</v>
      </c>
      <c r="D74" s="27" t="s">
        <v>132</v>
      </c>
      <c r="E74" s="27" t="s">
        <v>11</v>
      </c>
      <c r="F74" s="27" t="s">
        <v>200</v>
      </c>
      <c r="G74" s="362" t="s">
        <v>188</v>
      </c>
      <c r="H74" s="541" t="s">
        <v>628</v>
      </c>
    </row>
    <row r="75" spans="1:8" ht="45.75" customHeight="1" x14ac:dyDescent="0.2">
      <c r="A75" s="2"/>
      <c r="B75" s="402" t="s">
        <v>201</v>
      </c>
      <c r="C75" s="339" t="s">
        <v>202</v>
      </c>
      <c r="D75" s="27" t="s">
        <v>167</v>
      </c>
      <c r="E75" s="27" t="s">
        <v>145</v>
      </c>
      <c r="F75" s="54">
        <v>1</v>
      </c>
      <c r="G75" s="362" t="s">
        <v>188</v>
      </c>
      <c r="H75" s="541" t="s">
        <v>629</v>
      </c>
    </row>
    <row r="76" spans="1:8" ht="54" x14ac:dyDescent="0.25">
      <c r="A76" s="2"/>
      <c r="B76" s="402" t="s">
        <v>203</v>
      </c>
      <c r="C76" s="352" t="s">
        <v>204</v>
      </c>
      <c r="D76" s="27" t="s">
        <v>167</v>
      </c>
      <c r="E76" s="27" t="s">
        <v>145</v>
      </c>
      <c r="F76" s="54" t="s">
        <v>620</v>
      </c>
      <c r="G76" s="362" t="s">
        <v>188</v>
      </c>
      <c r="H76" s="541" t="s">
        <v>629</v>
      </c>
    </row>
    <row r="77" spans="1:8" ht="40.5" x14ac:dyDescent="0.2">
      <c r="A77" s="2"/>
      <c r="B77" s="402" t="s">
        <v>205</v>
      </c>
      <c r="C77" s="339" t="s">
        <v>206</v>
      </c>
      <c r="D77" s="27" t="s">
        <v>167</v>
      </c>
      <c r="E77" s="27" t="s">
        <v>11</v>
      </c>
      <c r="F77" s="27" t="s">
        <v>60</v>
      </c>
      <c r="G77" s="362" t="s">
        <v>188</v>
      </c>
      <c r="H77" s="541" t="s">
        <v>628</v>
      </c>
    </row>
    <row r="78" spans="1:8" ht="40.5" x14ac:dyDescent="0.2">
      <c r="A78" s="2"/>
      <c r="B78" s="402" t="s">
        <v>207</v>
      </c>
      <c r="C78" s="339" t="s">
        <v>208</v>
      </c>
      <c r="D78" s="27" t="s">
        <v>103</v>
      </c>
      <c r="E78" s="27" t="s">
        <v>11</v>
      </c>
      <c r="F78" s="27">
        <v>3.5</v>
      </c>
      <c r="G78" s="362" t="s">
        <v>209</v>
      </c>
      <c r="H78" s="541" t="s">
        <v>628</v>
      </c>
    </row>
    <row r="81" spans="2:3" ht="13.5" x14ac:dyDescent="0.2">
      <c r="B81" s="89" t="s">
        <v>172</v>
      </c>
      <c r="C81" s="356" t="s">
        <v>210</v>
      </c>
    </row>
    <row r="82" spans="2:3" ht="13.5" x14ac:dyDescent="0.2">
      <c r="B82" s="89"/>
      <c r="C82" s="357" t="s">
        <v>211</v>
      </c>
    </row>
    <row r="83" spans="2:3" ht="27.75" thickBot="1" x14ac:dyDescent="0.25">
      <c r="B83" s="89"/>
      <c r="C83" s="358" t="s">
        <v>212</v>
      </c>
    </row>
  </sheetData>
  <sheetProtection algorithmName="SHA-512" hashValue="gkUjNRRET3qIxaLX/jdUSVLWO+cCsd4BGUpVsc6Yz4Yv0HEpGl2Ikr0GWVfV9i+8JEUA4MissGykbSIu0NEPGw==" saltValue="VuTztocaBFPimOaU/7UutQ==" spinCount="100000" sheet="1" formatCells="0" formatColumns="0" formatRows="0" insertColumns="0" insertRows="0" insertHyperlinks="0" deleteColumns="0" deleteRows="0" pivotTables="0"/>
  <mergeCells count="2">
    <mergeCell ref="D2:G4"/>
    <mergeCell ref="B2:C4"/>
  </mergeCells>
  <phoneticPr fontId="25" type="noConversion"/>
  <hyperlinks>
    <hyperlink ref="G27:G28" r:id="rId1" display="https://www.uab.cat/web/estudiar/graus/sistema-de-garantia-interna-de-qualitat-del-centre/sgiq-de-la-facultat-1345722993885.html" xr:uid="{784AB19C-8C94-46D5-A954-A4132F24FCBB}"/>
    <hyperlink ref="G29:G32" r:id="rId2" display="https://www.uab.cat/web/estudiar/graus/sistema-de-garantia-interna-de-qualitat-del-centre/sgiq-de-la-facultat-1345722993885.html" xr:uid="{56083B22-8105-481D-BC4F-906E65B8D082}"/>
    <hyperlink ref="G39" r:id="rId3" display="https://www.uab.cat/web/estudiar/graus/sistema-de-garantia-interna-de-qualitat-del-centre/sgiq-de-la-facultat-1345722993885.html" xr:uid="{00817802-B8ED-4A65-9CB8-DE96E3205B1D}"/>
    <hyperlink ref="G40" r:id="rId4" display="https://www.uab.cat/web/estudiar/graus/sistema-de-garantia-interna-de-qualitat-del-centre/sgiq-de-la-facultat-1345722993885.html" xr:uid="{D5F8D7E1-160B-4E21-A557-5E3BD9C044DA}"/>
    <hyperlink ref="G41" r:id="rId5" display="https://www.uab.cat/web/estudiar/graus/sistema-de-garantia-interna-de-qualitat-del-centre/sgiq-de-la-facultat-1345722993885.html" xr:uid="{8290DA3F-A43D-4638-BCBA-A0AC0B51EF33}"/>
    <hyperlink ref="G45:G47" r:id="rId6" display="https://www.uab.cat/web/estudiar/graus/sistema-de-garantia-interna-de-qualitat-del-centre/sgiq-de-la-facultat-1345722993885.html" xr:uid="{9ACD95D4-EE5D-42E9-AB1E-9F9D12C24247}"/>
    <hyperlink ref="G48" r:id="rId7" display="https://www.uab.cat/web/estudiar/graus/sistema-de-garantia-interna-de-qualitat-del-centre/sgiq-de-la-facultat-1345722993885.html" xr:uid="{79642608-08E2-4A0D-9337-A285D7E9B25B}"/>
    <hyperlink ref="G50" r:id="rId8" display="https://www.uab.cat/web/estudiar/graus/sistema-de-garantia-interna-de-qualitat-del-centre/sgiq-de-la-facultat-1345722993885.html" xr:uid="{28BB130E-C813-4C7A-BC36-BCEEB75BA2D3}"/>
    <hyperlink ref="G51" r:id="rId9" display="https://www.uab.cat/web/estudiar/graus/sistema-de-garantia-interna-de-qualitat-del-centre/sgiq-de-la-facultat-1345722993885.html" xr:uid="{A4C4664D-1AD3-453F-A5CC-B313D3403108}"/>
    <hyperlink ref="G65" r:id="rId10" display="https://www.uab.cat/web/estudiar/graus/sistema-de-garantia-interna-de-qualitat-del-centre/sgiq-de-la-facultat-1345722993885.html" xr:uid="{E74C9013-BA43-4A4C-80C0-AB8A71D3376F}"/>
    <hyperlink ref="G66" r:id="rId11" display="https://www.uab.cat/web/estudiar/graus/sistema-de-garantia-interna-de-qualitat-del-centre/sgiq-de-la-facultat-1345722993885.html" xr:uid="{5B998CB6-F5B9-448E-9A1C-0A3915DDB9B7}"/>
    <hyperlink ref="G78" r:id="rId12" display="https://www.uab.cat/web/estudiar/graus/sistema-de-garantia-interna-de-qualitat-del-centre/sgiq-de-la-facultat-1345722993885.html" xr:uid="{60E4BF35-16FC-4107-ABA6-E29DDF9DC124}"/>
    <hyperlink ref="G68" r:id="rId13" display="https://www.uab.cat/web/estudiar/graus/sistema-de-garantia-interna-de-qualitat-del-centre/sgiq-de-la-facultat-1345722993885.html" xr:uid="{6D5D625A-8CF6-47CA-BAE4-2D7E34223182}"/>
    <hyperlink ref="G49" r:id="rId14" display="https://www.uab.cat/web/estudiar/graus/sistema-de-garantia-interna-de-qualitat-del-centre/sgiq-de-la-facultat-1345722993885.html" xr:uid="{73C3CC5B-3205-40C1-87AA-476BDA43F8DA}"/>
    <hyperlink ref="B7" location="'PE1.01_Ind01 '!A1" display="PE1.01_Ind01." xr:uid="{8CFC2A7A-1BA7-4B44-A071-51A3A4A99D50}"/>
    <hyperlink ref="B8" location="PE1.01_Ind02!A1" display="PE1.01_Ind02." xr:uid="{17F298E9-0540-49F0-B0A2-2E2A9A3368CD}"/>
    <hyperlink ref="B11" location="PE1.02_Ind01!A1" display="PE1.02_Ind01." xr:uid="{4D00DB35-2BCD-4160-9716-16151893F562}"/>
    <hyperlink ref="B12" location="PE1.02_Ind02!A1" display="PE1.02_Ind02." xr:uid="{14221F0C-9DE7-474F-9410-4292AACF30FF}"/>
    <hyperlink ref="B14" location="PE1.03_Ind01!A1" display="PE1.03_Ind01." xr:uid="{658D1CF2-4499-4774-A4DB-80AFFC7CE261}"/>
    <hyperlink ref="B15" location="PE1.03_Ind02!A1" display="PE1.03_Ind02" xr:uid="{7EB96156-C9AA-4E53-B210-C3E6EE9FCF4D}"/>
    <hyperlink ref="B16" location="PE1.03_Ind03!A1" display="PE1.03_Ind03" xr:uid="{C2A1DF68-0C77-48B1-B6BD-F1D39E1594C0}"/>
    <hyperlink ref="B17" location="'PE1.03_Ind04 '!A1" display="PE1.03_Ind04" xr:uid="{83D352ED-657A-42BE-B731-99C625FA67A5}"/>
    <hyperlink ref="B21" location="PC2.01_Ind01!A1" display="PC2.01_Ind01" xr:uid="{F8AC1EBB-EACC-4FAE-887E-4E7FBFED35BC}"/>
    <hyperlink ref="B22" location="PC2.01_Ind02!A1" display="PC2.01_Ind02" xr:uid="{9ECBD923-A7D7-421C-9042-33452F674D30}"/>
    <hyperlink ref="B23" location="PC2.01_Ind03!A1" display="PC2.01_Ind03" xr:uid="{B6755230-EB06-4E6A-9204-00EFDA43C12D}"/>
    <hyperlink ref="B24" location="PC2.01_Ind04!A1" display="PC2.01_Ind04" xr:uid="{C189A676-4DE6-4717-ACD5-B4E89AC264CC}"/>
    <hyperlink ref="B25" location="PC2.01_Ind05!A1" display="PC2.01_Ind05" xr:uid="{8E58E1CC-11EF-4770-9834-E755539EAB0A}"/>
    <hyperlink ref="B26" location="PC2.02_Ind01!A1" display="PC2.02_Ind01." xr:uid="{B5AF6500-6429-4AA5-8DD7-6E276ED37EA2}"/>
    <hyperlink ref="B27" location="PC2.03_Ind01!A1" display="PC2.03_Ind01." xr:uid="{5325DDB1-3A12-44AB-BF33-DA97E2168E09}"/>
    <hyperlink ref="B28" location="PC2.03_Ind02!A1" display="PC2.03_Ind02. " xr:uid="{4866A5FF-FF2F-4604-979B-5E325B90AE82}"/>
    <hyperlink ref="B29" location="PC2.04_Ind01!A1" display=" PC2.04_Ind01." xr:uid="{6FF3D0A7-68B6-429D-B93E-E10E874B27DF}"/>
    <hyperlink ref="B30" location="PC2.04_Ind02!A1" display="PC2.04_Ind02. " xr:uid="{AC41FFB3-6C6C-44D6-8976-D4207CF8BDF7}"/>
    <hyperlink ref="B31" location="PC2.04_Ind03!A1" display="PC2.04_Ind03. " xr:uid="{F1DFD10C-D8B3-4432-B9DE-4742D206032A}"/>
    <hyperlink ref="B32" location="PC2.04_Ind4!A1" display="PC2.04_Ind04." xr:uid="{509AE1A6-43F5-4470-802B-FD9A3A45F6F9}"/>
    <hyperlink ref="B33" location="PC2.05_Ind01!A1" display="PC2.05_Ind01." xr:uid="{76B07390-95FE-457A-B77F-EACD85107143}"/>
    <hyperlink ref="B34" location="PC3.01_Ind01!A1" display="PC3.01_Ind01. " xr:uid="{DAABA5C6-35B4-49FD-B723-4C624054DAF5}"/>
    <hyperlink ref="B35" location="PC3.01_Ind02.!A1" display="PC3.01_Ind02." xr:uid="{0F70D5ED-08F2-4B7E-B2AE-1F44B1278D77}"/>
    <hyperlink ref="B36" location="PC3.01_Ind03!A1" display="PC3.01_Ind03." xr:uid="{53092FD3-25A1-40F2-93EA-4EB0A4201C6F}"/>
    <hyperlink ref="B37" location="'PC3.01_Ind04 '!A1" display="PC3.01_Ind04." xr:uid="{BD273C9A-D4ED-44FA-B340-1AE7AD2A33DF}"/>
    <hyperlink ref="B38" location="PC3.01_Ind05!A1" display="PC3.01_Ind05." xr:uid="{94D4FCD8-76C1-4E49-B456-B4DD98A90F5A}"/>
    <hyperlink ref="B39" location="PC3.02_Ind01!A1" display="PC3.02_Ind01." xr:uid="{79D6842C-25DC-4A7A-89AA-19BAF974C2FD}"/>
    <hyperlink ref="B40" location="PC3.03_Ind01!A1" display="PC3.03_Ind01. " xr:uid="{3F1EEDA4-1A49-4951-B6FF-36DDD5FD3DB9}"/>
    <hyperlink ref="B41" location="PC3.03_Ind02!A1" display="PC3.03_Ind02. " xr:uid="{50700F7E-A5DF-456E-ACC6-6EBE5906A3EC}"/>
    <hyperlink ref="B45" location="PC3.04_Ind01!A1" display="PC3.04_Ind01." xr:uid="{112C9615-354A-4866-818D-14C4675A0CA2}"/>
    <hyperlink ref="B46" location="'PC3.04_Ind02 '!A1" display="PC3.04_Ind02. " xr:uid="{4B6D1CDB-A83B-45DA-99D5-8209979B71BC}"/>
    <hyperlink ref="B47" location="PC3.04_Ind03!A1" display="PC3.04_Ind03." xr:uid="{B3C790E1-9E08-4A7A-A7A0-03BDF793080B}"/>
    <hyperlink ref="B48" location="PC3.05_Ind01!A1" display="PC3.05_Ind01." xr:uid="{1A3D8489-5722-4C2D-951B-3F0714D911AA}"/>
    <hyperlink ref="B49" location="PC3.05_Ind02!A1" display="PC3.05_Ind02." xr:uid="{EE34C72E-FE6A-4E3D-B8DF-7A5ADC034D6A}"/>
    <hyperlink ref="B50" location="PS4.01_Ind01!A1" display="PS4.01_Ind01. " xr:uid="{F11DC8B4-663F-4271-AF51-C4FD668A3294}"/>
    <hyperlink ref="B51" location="PS4.01_Ind02!A1" display="PS4.01_Ind02. " xr:uid="{06884451-FF2C-45E2-A953-32F25FFB5F13}"/>
    <hyperlink ref="B52" location="PS4.02_Ind01!A1" display="PS4.02_Ind01. " xr:uid="{D6CF097F-AA76-406B-AD47-BF2B15A4FBB7}"/>
    <hyperlink ref="B53" location="PS4.02_Ind02!A1" display="PS4.02_Ind02." xr:uid="{53C6CD62-7600-42FF-814E-24E0343941A0}"/>
    <hyperlink ref="B54" location="PS4.02_Ind03!A1" display="PS4.02_Ind03." xr:uid="{E2820471-F9DB-4AC2-B3B4-7E3520E3465A}"/>
    <hyperlink ref="B55" location="PS4.02_Ind04!A1" display="PS4.02_Ind04." xr:uid="{C5E32BE4-3BD7-4B2F-97B2-8122DA2A3212}"/>
    <hyperlink ref="B56" location="PS4.03_Ind01!A1" display="PS4.03_Ind01. " xr:uid="{34BAE5C7-0156-40EC-B160-DC34F8A91E1C}"/>
    <hyperlink ref="B57" location="PS4.03_Ind02!A1" display="PS4.03_Ind02. " xr:uid="{708EF7F4-AA95-4954-A6DC-EEE6A179E581}"/>
    <hyperlink ref="B58" location="PS4.03_Ind03!A1" display="PS4.03_Ind03. " xr:uid="{863C5E00-C085-4D4D-9F25-ACCC969D0A6D}"/>
    <hyperlink ref="B59" location="PS4.03_Ind04!A1" display=" PS4.03_Ind04. " xr:uid="{28139865-3462-4817-9948-8BF961891C03}"/>
    <hyperlink ref="B60" location="PS4.03_Ind05!A1" display="PS4.03_Ind05." xr:uid="{820D76EB-094F-483A-BCDE-6660DDE9D34F}"/>
    <hyperlink ref="B61" location="PS4.03_Ind06!A1" display="PS4.03_Ind06." xr:uid="{E5199830-AF36-4F77-8D37-3D1BF12C613B}"/>
    <hyperlink ref="B62" location="PS4.04_Ind01!A1" display=" PS4.04_Ind01. " xr:uid="{CE1C4E79-53AD-4C48-8C77-149D7E1CBE96}"/>
    <hyperlink ref="B64" location="PS4.04_Ind02!A1" display="PS4.04_Ind02. " xr:uid="{F822837D-4632-4A56-B151-7A6DECEC7D02}"/>
    <hyperlink ref="B63" location="PS4.04_Ind03.!A1" display=" PS4.04_Ind03.  " xr:uid="{8173D065-6D96-4264-80A5-23F7689AA6EB}"/>
    <hyperlink ref="B65" location="PS4.05_Ind01!A1" display=" PS4.05_Ind01." xr:uid="{C6EE39A8-AEC9-4F69-938D-F0061671FD4E}"/>
    <hyperlink ref="B66" location="PS4.05_Ind02!A1" display="PS4.05_Ind02. " xr:uid="{6F15329D-E219-4B27-8B09-9A9E98A15AFF}"/>
    <hyperlink ref="B67" location="PS5.03_Ind01!A1" display=" PS5.03_Ind01." xr:uid="{5DE46474-FACE-430B-A199-CF479F5A590A}"/>
    <hyperlink ref="B68" location="PS5.03_Ind02!A1" display=" PS5.03_Ind02. " xr:uid="{7F2A3D4B-8700-4C93-BF77-59849AF79DD2}"/>
    <hyperlink ref="B69" location="PS5.03_Ind03!A1" display=" PS5.03_Ind03. " xr:uid="{620821B5-ABD6-450B-B6F4-8E6455AC7C91}"/>
    <hyperlink ref="B70" location="PS5.03_Ind04!A1" display="PS5.03_Ind04." xr:uid="{9CE0804D-1D85-4EF9-AA7B-FAE6B1539CEA}"/>
    <hyperlink ref="B71" location="PS5.04_Ind01!A1" display=" PS5.04_Ind01. " xr:uid="{D388888E-8323-4330-A009-3A5C3D04C83A}"/>
    <hyperlink ref="B72" location="PS5.04_Ind02!A1" display=" PS5.04_Ind02. " xr:uid="{BC2FDA39-C856-4C93-8E99-452EB875DEB7}"/>
    <hyperlink ref="B73" location="PS5.04_Ind03!A1" display=" PS5.04_Ind03. " xr:uid="{ADF52649-BE9B-4A5E-B999-7DF379197DA5}"/>
    <hyperlink ref="B74" location="PS5.04_Ind04!A1" display=" PS5.04_Ind04. " xr:uid="{6D7F8830-BA34-4F37-8E03-391025B0F6EA}"/>
    <hyperlink ref="B75" location="PS5.05_Ind01!A1" display=" PS5.05_Ind01. " xr:uid="{A47BE556-39EA-4320-9D8A-BD3AD9DD2057}"/>
    <hyperlink ref="B76" location="PS5.05_Ind02!A1" display=" PS5.05_Ind02. " xr:uid="{CCD04D7F-BCA4-48CD-A279-06D6C7886DA2}"/>
    <hyperlink ref="B78" location="'PS5.06_Ind01   '!A1" display=" PS5.06_Ind01. " xr:uid="{D454A217-FB87-4BE8-94F4-C7253CACE450}"/>
    <hyperlink ref="B18" location="PE1.03_Ind05!A1" display="PE1.03_Ind05" xr:uid="{1A3529D6-378D-43DD-9E90-BD3FA661461A}"/>
    <hyperlink ref="B19" location="PE1.03_Ind06!A1" display="PE1.03_Ind06" xr:uid="{55B871E1-586E-4A5F-ABE9-B74DF80CA9DC}"/>
    <hyperlink ref="B20" location="PE1.03_Ind07!A1" display="PE1.03_Ind07" xr:uid="{8FC8F140-2C64-4DFD-BC51-3B123ECF3C03}"/>
    <hyperlink ref="G42" r:id="rId15" display="https://www.uab.cat/web/estudiar/graus/sistema-de-garantia-interna-de-qualitat-del-centre/sgiq-de-la-facultat-1345722993885.html" xr:uid="{65735E0C-012B-411F-8AB5-B5F110D4D17C}"/>
    <hyperlink ref="G43" r:id="rId16" display="https://www.uab.cat/web/estudiar/graus/sistema-de-garantia-interna-de-qualitat-del-centre/sgiq-de-la-facultat-1345722993885.html" xr:uid="{A6C50704-01D8-4901-BE9C-52C6EFE4F23E}"/>
    <hyperlink ref="G44" r:id="rId17" display="https://www.uab.cat/web/estudiar/graus/sistema-de-garantia-interna-de-qualitat-del-centre/sgiq-de-la-facultat-1345722993885.html" xr:uid="{8A118186-6217-4A6C-9793-ABEC762E8A4D}"/>
    <hyperlink ref="B9" location="'PE1.01_Ind03 '!A1" display="PE1-01_Ind03" xr:uid="{69B05DC7-3173-4816-8527-B7BFD693BAA2}"/>
    <hyperlink ref="B10" location="'PE1.01_Ind04 '!A1" display="PE1.01_Ind04" xr:uid="{1EFF4442-D07F-4BDB-BBD1-EEB60E5CBD65}"/>
    <hyperlink ref="B13" location="PE1.02_Ind03!A1" display="PE1.02_Ind03" xr:uid="{A8A85726-E5C7-4ECE-8F9F-AD58CE7B4DDF}"/>
    <hyperlink ref="B42" location="PC3.03_Ind03!A1" display="PC3.03_Ind03" xr:uid="{E418444A-FA54-49B3-BC84-05561F12929F}"/>
    <hyperlink ref="B43" location="PC3.03_Ind04!A1" display="PC3.03_Ind04 " xr:uid="{722E7EE3-ACF5-4A81-B21C-A0A03D3FC90D}"/>
    <hyperlink ref="B44" location="PC3.03_Ind05!A1" display="PC3.03_Ind05" xr:uid="{8DADFB5B-4A1A-4025-996D-07C2BB2ABF2F}"/>
    <hyperlink ref="B77" location="'PS5.05_Ind03 '!A1" display=" PS5.05_Ind03. " xr:uid="{A7720D4C-F2A4-44C1-B38A-3C57C1238FFB}"/>
  </hyperlinks>
  <printOptions horizontalCentered="1" gridLines="1"/>
  <pageMargins left="0.25" right="0.25" top="0.75" bottom="0.75" header="0" footer="0"/>
  <pageSetup paperSize="9" scale="88" fitToHeight="0" pageOrder="overThenDown" orientation="landscape" cellComments="atEnd" r:id="rId18"/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9A62B-3031-4709-8D83-8C8EF6A8D478}">
  <sheetPr>
    <tabColor theme="9" tint="-0.499984740745262"/>
    <pageSetUpPr fitToPage="1"/>
  </sheetPr>
  <dimension ref="B2:J28"/>
  <sheetViews>
    <sheetView showGridLines="0" topLeftCell="A3" workbookViewId="0">
      <selection activeCell="G18" sqref="G18:J26"/>
    </sheetView>
  </sheetViews>
  <sheetFormatPr defaultColWidth="12.5703125" defaultRowHeight="15.75" customHeight="1" x14ac:dyDescent="0.2"/>
  <cols>
    <col min="1" max="1" width="3.42578125" customWidth="1"/>
    <col min="2" max="2" width="14.140625" customWidth="1"/>
    <col min="3" max="9" width="12.5703125" customWidth="1"/>
    <col min="10" max="10" width="17.42578125" bestFit="1" customWidth="1"/>
    <col min="11" max="13" width="8.85546875" customWidth="1"/>
    <col min="14" max="23" width="7.5703125" customWidth="1"/>
  </cols>
  <sheetData>
    <row r="2" spans="2:10" ht="55.5" customHeight="1" x14ac:dyDescent="0.25">
      <c r="B2" s="603"/>
      <c r="C2" s="576"/>
      <c r="D2" s="592"/>
      <c r="E2" s="604" t="s">
        <v>213</v>
      </c>
      <c r="F2" s="576"/>
      <c r="G2" s="576"/>
      <c r="H2" s="576"/>
      <c r="I2" s="576"/>
      <c r="J2" s="592"/>
    </row>
    <row r="3" spans="2:10" ht="22.5" customHeight="1" x14ac:dyDescent="0.25">
      <c r="B3" s="286"/>
      <c r="C3" s="286"/>
      <c r="D3" s="287"/>
      <c r="E3" s="287"/>
      <c r="F3" s="287"/>
      <c r="G3" s="287"/>
      <c r="H3" s="287"/>
      <c r="I3" s="287"/>
      <c r="J3" s="284"/>
    </row>
    <row r="4" spans="2:10" ht="42" customHeight="1" x14ac:dyDescent="0.25">
      <c r="B4" s="573" t="s">
        <v>214</v>
      </c>
      <c r="C4" s="574"/>
      <c r="D4" s="575" t="str">
        <f>Índex!B7</f>
        <v>PE1.01_Ind01.</v>
      </c>
      <c r="E4" s="592"/>
      <c r="F4" s="573" t="s">
        <v>215</v>
      </c>
      <c r="G4" s="574"/>
      <c r="H4" s="575" t="str">
        <f>Índex!C7</f>
        <v>Percentatge d’assoliment dels objectius associats als indicadors del quadre de comandament</v>
      </c>
      <c r="I4" s="576"/>
      <c r="J4" s="592"/>
    </row>
    <row r="5" spans="2:10" ht="22.5" customHeight="1" x14ac:dyDescent="0.25">
      <c r="B5" s="573" t="s">
        <v>216</v>
      </c>
      <c r="C5" s="574"/>
      <c r="D5" s="597">
        <f>Índex!F7</f>
        <v>0.8</v>
      </c>
      <c r="E5" s="598"/>
      <c r="F5" s="599" t="s">
        <v>217</v>
      </c>
      <c r="G5" s="574"/>
      <c r="H5" s="600" t="s">
        <v>218</v>
      </c>
      <c r="I5" s="601"/>
      <c r="J5" s="602"/>
    </row>
    <row r="6" spans="2:10" ht="22.5" customHeight="1" x14ac:dyDescent="0.25">
      <c r="B6" s="573" t="s">
        <v>219</v>
      </c>
      <c r="C6" s="574"/>
      <c r="D6" s="575" t="s">
        <v>220</v>
      </c>
      <c r="E6" s="592"/>
      <c r="F6" s="573" t="s">
        <v>221</v>
      </c>
      <c r="G6" s="590"/>
      <c r="H6" s="288" t="str">
        <f>Índex!E7</f>
        <v>Gestora de Qualitat</v>
      </c>
      <c r="I6" s="289"/>
      <c r="J6" s="290"/>
    </row>
    <row r="7" spans="2:10" ht="22.5" customHeight="1" x14ac:dyDescent="0.25">
      <c r="B7" s="573" t="s">
        <v>222</v>
      </c>
      <c r="C7" s="574"/>
      <c r="D7" s="575" t="str">
        <f>Índex!G7</f>
        <v xml:space="preserve"> PE1.01. Definició de la Política de Qualitat</v>
      </c>
      <c r="E7" s="576"/>
      <c r="F7" s="576"/>
      <c r="G7" s="576"/>
      <c r="H7" s="577"/>
      <c r="I7" s="577"/>
      <c r="J7" s="578"/>
    </row>
    <row r="8" spans="2:10" ht="7.5" customHeight="1" x14ac:dyDescent="0.25">
      <c r="B8" s="284"/>
      <c r="C8" s="284"/>
      <c r="D8" s="284"/>
      <c r="E8" s="284"/>
      <c r="F8" s="284"/>
      <c r="G8" s="284"/>
      <c r="H8" s="284"/>
      <c r="I8" s="284"/>
      <c r="J8" s="284"/>
    </row>
    <row r="9" spans="2:10" ht="22.5" customHeight="1" x14ac:dyDescent="0.25">
      <c r="B9" s="573" t="s">
        <v>223</v>
      </c>
      <c r="C9" s="590"/>
      <c r="D9" s="590"/>
      <c r="E9" s="590"/>
      <c r="F9" s="590"/>
      <c r="G9" s="590"/>
      <c r="H9" s="590"/>
      <c r="I9" s="590"/>
      <c r="J9" s="574"/>
    </row>
    <row r="10" spans="2:10" ht="22.5" customHeight="1" x14ac:dyDescent="0.25">
      <c r="B10" s="291"/>
      <c r="C10" s="291"/>
      <c r="D10" s="291"/>
      <c r="E10" s="291"/>
      <c r="F10" s="291"/>
      <c r="G10" s="291"/>
      <c r="H10" s="291"/>
      <c r="I10" s="291"/>
      <c r="J10" s="291"/>
    </row>
    <row r="11" spans="2:10" ht="22.5" customHeight="1" x14ac:dyDescent="0.25">
      <c r="B11" s="291"/>
      <c r="C11" s="291"/>
      <c r="D11" s="292" t="s">
        <v>224</v>
      </c>
      <c r="E11" s="292" t="s">
        <v>225</v>
      </c>
      <c r="F11" s="292" t="s">
        <v>226</v>
      </c>
      <c r="G11" s="292" t="s">
        <v>227</v>
      </c>
      <c r="H11" s="292" t="s">
        <v>228</v>
      </c>
      <c r="I11" s="292" t="s">
        <v>229</v>
      </c>
      <c r="J11" s="284"/>
    </row>
    <row r="12" spans="2:10" ht="23.25" customHeight="1" x14ac:dyDescent="0.25">
      <c r="B12" s="591" t="s">
        <v>230</v>
      </c>
      <c r="C12" s="592"/>
      <c r="D12" s="293">
        <v>0.44</v>
      </c>
      <c r="E12" s="293">
        <v>0.57999999999999996</v>
      </c>
      <c r="F12" s="293">
        <v>0.53</v>
      </c>
      <c r="G12" s="293">
        <v>0.32</v>
      </c>
      <c r="H12" s="293">
        <v>0.88260000000000005</v>
      </c>
      <c r="I12" s="293">
        <v>0.81310000000000004</v>
      </c>
      <c r="J12" s="284"/>
    </row>
    <row r="13" spans="2:10" ht="22.5" customHeight="1" x14ac:dyDescent="0.25">
      <c r="B13" s="593" t="s">
        <v>231</v>
      </c>
      <c r="C13" s="592"/>
      <c r="D13" s="293">
        <v>0.8</v>
      </c>
      <c r="E13" s="293">
        <v>0.8</v>
      </c>
      <c r="F13" s="293">
        <v>0.8</v>
      </c>
      <c r="G13" s="293">
        <v>0.8</v>
      </c>
      <c r="H13" s="293">
        <v>0.8</v>
      </c>
      <c r="I13" s="293">
        <v>0.8</v>
      </c>
      <c r="J13" s="284"/>
    </row>
    <row r="14" spans="2:10" ht="22.5" customHeight="1" x14ac:dyDescent="0.25">
      <c r="B14" s="593" t="s">
        <v>232</v>
      </c>
      <c r="C14" s="592"/>
      <c r="D14" s="293">
        <f xml:space="preserve"> D12/D13</f>
        <v>0.54999999999999993</v>
      </c>
      <c r="E14" s="293">
        <f t="shared" ref="E14:G14" si="0" xml:space="preserve"> E12/E13</f>
        <v>0.72499999999999987</v>
      </c>
      <c r="F14" s="293">
        <f t="shared" si="0"/>
        <v>0.66249999999999998</v>
      </c>
      <c r="G14" s="293">
        <f t="shared" si="0"/>
        <v>0.39999999999999997</v>
      </c>
      <c r="H14" s="293">
        <f>COUNTIF(H12:H12,"&gt;=80%")</f>
        <v>1</v>
      </c>
      <c r="I14" s="293">
        <f>COUNTIF(I12:I12,"&gt;=80%")</f>
        <v>1</v>
      </c>
      <c r="J14" s="284"/>
    </row>
    <row r="15" spans="2:10" ht="9.75" customHeight="1" x14ac:dyDescent="0.25">
      <c r="B15" s="7"/>
      <c r="C15" s="7"/>
      <c r="D15" s="6"/>
      <c r="E15" s="6"/>
      <c r="F15" s="6"/>
      <c r="G15" s="6"/>
      <c r="H15" s="6"/>
      <c r="I15" s="6"/>
      <c r="J15" s="6"/>
    </row>
    <row r="16" spans="2:10" ht="22.5" customHeight="1" x14ac:dyDescent="0.2">
      <c r="B16" s="594" t="s">
        <v>233</v>
      </c>
      <c r="C16" s="595"/>
      <c r="D16" s="595"/>
      <c r="E16" s="596"/>
      <c r="F16" s="8"/>
      <c r="G16" s="594" t="s">
        <v>234</v>
      </c>
      <c r="H16" s="595"/>
      <c r="I16" s="595"/>
      <c r="J16" s="596"/>
    </row>
    <row r="18" spans="7:10" ht="22.5" customHeight="1" x14ac:dyDescent="0.2">
      <c r="G18" s="579" t="s">
        <v>172</v>
      </c>
      <c r="H18" s="580"/>
      <c r="I18" s="580"/>
      <c r="J18" s="581"/>
    </row>
    <row r="19" spans="7:10" ht="22.5" customHeight="1" x14ac:dyDescent="0.2">
      <c r="G19" s="582"/>
      <c r="H19" s="583"/>
      <c r="I19" s="583"/>
      <c r="J19" s="584"/>
    </row>
    <row r="20" spans="7:10" ht="22.5" customHeight="1" x14ac:dyDescent="0.2">
      <c r="G20" s="582"/>
      <c r="H20" s="583"/>
      <c r="I20" s="583"/>
      <c r="J20" s="584"/>
    </row>
    <row r="21" spans="7:10" ht="22.5" customHeight="1" x14ac:dyDescent="0.2">
      <c r="G21" s="582"/>
      <c r="H21" s="583"/>
      <c r="I21" s="583"/>
      <c r="J21" s="584"/>
    </row>
    <row r="22" spans="7:10" ht="22.5" customHeight="1" x14ac:dyDescent="0.2">
      <c r="G22" s="582"/>
      <c r="H22" s="583"/>
      <c r="I22" s="583"/>
      <c r="J22" s="584"/>
    </row>
    <row r="23" spans="7:10" ht="22.5" customHeight="1" x14ac:dyDescent="0.2">
      <c r="G23" s="582"/>
      <c r="H23" s="583"/>
      <c r="I23" s="583"/>
      <c r="J23" s="584"/>
    </row>
    <row r="24" spans="7:10" ht="22.5" customHeight="1" x14ac:dyDescent="0.2">
      <c r="G24" s="582"/>
      <c r="H24" s="583"/>
      <c r="I24" s="583"/>
      <c r="J24" s="584"/>
    </row>
    <row r="25" spans="7:10" ht="22.5" customHeight="1" x14ac:dyDescent="0.2">
      <c r="G25" s="582"/>
      <c r="H25" s="583"/>
      <c r="I25" s="583"/>
      <c r="J25" s="584"/>
    </row>
    <row r="26" spans="7:10" ht="22.5" customHeight="1" x14ac:dyDescent="0.2">
      <c r="G26" s="585"/>
      <c r="H26" s="586"/>
      <c r="I26" s="586"/>
      <c r="J26" s="587"/>
    </row>
    <row r="27" spans="7:10" ht="6" customHeight="1" x14ac:dyDescent="0.2"/>
    <row r="28" spans="7:10" ht="19.5" customHeight="1" x14ac:dyDescent="0.2">
      <c r="H28" s="588" t="s">
        <v>172</v>
      </c>
      <c r="I28" s="589"/>
      <c r="J28" s="589"/>
    </row>
  </sheetData>
  <sheetProtection algorithmName="SHA-512" hashValue="AEBJ2m8kD6L1U+UOJWnrmJuYYSWfCyHwNVry1XQb1FO+QI9hdcaJaPTMAp/DjwHp9Sk15dFO+XN5uv46r9xzaQ==" saltValue="LvTCBuTeFzMXqL7dMna+tQ==" spinCount="100000" sheet="1" formatCells="0" formatColumns="0" formatRows="0" insertColumns="0" insertRows="0" insertHyperlinks="0" deleteColumns="0" deleteRows="0" pivotTables="0"/>
  <mergeCells count="23">
    <mergeCell ref="B2:D2"/>
    <mergeCell ref="E2:J2"/>
    <mergeCell ref="B4:C4"/>
    <mergeCell ref="D4:E4"/>
    <mergeCell ref="F4:G4"/>
    <mergeCell ref="H4:J4"/>
    <mergeCell ref="B5:C5"/>
    <mergeCell ref="D5:E5"/>
    <mergeCell ref="F5:G5"/>
    <mergeCell ref="H5:J5"/>
    <mergeCell ref="B6:C6"/>
    <mergeCell ref="D6:E6"/>
    <mergeCell ref="F6:G6"/>
    <mergeCell ref="B7:C7"/>
    <mergeCell ref="D7:J7"/>
    <mergeCell ref="G18:J26"/>
    <mergeCell ref="H28:J28"/>
    <mergeCell ref="B9:J9"/>
    <mergeCell ref="B12:C12"/>
    <mergeCell ref="B13:C13"/>
    <mergeCell ref="B14:C14"/>
    <mergeCell ref="B16:E16"/>
    <mergeCell ref="G16:J16"/>
  </mergeCells>
  <pageMargins left="0.7" right="0.7" top="0.75" bottom="0.75" header="0" footer="0"/>
  <pageSetup paperSize="9"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  <pageSetUpPr fitToPage="1"/>
  </sheetPr>
  <dimension ref="B2:N28"/>
  <sheetViews>
    <sheetView showGridLines="0" topLeftCell="A3" workbookViewId="0">
      <selection activeCell="D13" sqref="D13"/>
    </sheetView>
  </sheetViews>
  <sheetFormatPr defaultColWidth="12.5703125" defaultRowHeight="15.75" customHeight="1" x14ac:dyDescent="0.2"/>
  <cols>
    <col min="1" max="1" width="3.42578125" customWidth="1"/>
    <col min="2" max="2" width="14.140625" customWidth="1"/>
    <col min="3" max="9" width="12.5703125" customWidth="1"/>
    <col min="10" max="10" width="17.42578125" bestFit="1" customWidth="1"/>
    <col min="11" max="13" width="8.85546875" customWidth="1"/>
    <col min="14" max="23" width="7.5703125" customWidth="1"/>
  </cols>
  <sheetData>
    <row r="2" spans="2:14" ht="55.5" customHeight="1" x14ac:dyDescent="0.25">
      <c r="B2" s="603"/>
      <c r="C2" s="576"/>
      <c r="D2" s="592"/>
      <c r="E2" s="604" t="s">
        <v>213</v>
      </c>
      <c r="F2" s="576"/>
      <c r="G2" s="576"/>
      <c r="H2" s="576"/>
      <c r="I2" s="576"/>
      <c r="J2" s="592"/>
      <c r="K2" s="3"/>
      <c r="L2" s="3"/>
      <c r="M2" s="3"/>
    </row>
    <row r="3" spans="2:14" ht="22.5" customHeight="1" x14ac:dyDescent="0.25">
      <c r="B3" s="286"/>
      <c r="C3" s="286"/>
      <c r="D3" s="287"/>
      <c r="E3" s="287"/>
      <c r="F3" s="287"/>
      <c r="G3" s="287"/>
      <c r="H3" s="287"/>
      <c r="I3" s="287"/>
      <c r="J3" s="284"/>
    </row>
    <row r="4" spans="2:14" ht="42.75" customHeight="1" x14ac:dyDescent="0.25">
      <c r="B4" s="573" t="s">
        <v>214</v>
      </c>
      <c r="C4" s="574"/>
      <c r="D4" s="575" t="str">
        <f>Índex!B8</f>
        <v>PE1.01_Ind02.</v>
      </c>
      <c r="E4" s="592"/>
      <c r="F4" s="573" t="s">
        <v>215</v>
      </c>
      <c r="G4" s="574"/>
      <c r="H4" s="605" t="str">
        <f>Índex!C8</f>
        <v>Percentatge de propostes de millora implementades, per curs acadèmic</v>
      </c>
      <c r="I4" s="606"/>
      <c r="J4" s="607"/>
    </row>
    <row r="5" spans="2:14" ht="22.5" customHeight="1" x14ac:dyDescent="0.25">
      <c r="B5" s="573" t="s">
        <v>235</v>
      </c>
      <c r="C5" s="574"/>
      <c r="D5" s="608">
        <f>Índex!F8</f>
        <v>0.8</v>
      </c>
      <c r="E5" s="598"/>
      <c r="F5" s="599" t="s">
        <v>217</v>
      </c>
      <c r="G5" s="574"/>
      <c r="H5" s="605" t="s">
        <v>218</v>
      </c>
      <c r="I5" s="606"/>
      <c r="J5" s="607"/>
    </row>
    <row r="6" spans="2:14" ht="22.5" customHeight="1" x14ac:dyDescent="0.25">
      <c r="B6" s="573" t="s">
        <v>219</v>
      </c>
      <c r="C6" s="574"/>
      <c r="D6" s="575" t="s">
        <v>220</v>
      </c>
      <c r="E6" s="592"/>
      <c r="F6" s="573" t="s">
        <v>221</v>
      </c>
      <c r="G6" s="574"/>
      <c r="H6" s="609" t="str">
        <f>Índex!E8</f>
        <v>Gestora de Qualitat</v>
      </c>
      <c r="I6" s="610"/>
      <c r="J6" s="598"/>
    </row>
    <row r="7" spans="2:14" ht="22.5" customHeight="1" x14ac:dyDescent="0.25">
      <c r="B7" s="573" t="s">
        <v>222</v>
      </c>
      <c r="C7" s="574"/>
      <c r="D7" s="575" t="str">
        <f>Índex!G8</f>
        <v xml:space="preserve"> PE1.01. Definició de la Política de Qualitat</v>
      </c>
      <c r="E7" s="576"/>
      <c r="F7" s="576"/>
      <c r="G7" s="576"/>
      <c r="H7" s="576"/>
      <c r="I7" s="576"/>
      <c r="J7" s="592"/>
      <c r="K7" s="4"/>
    </row>
    <row r="8" spans="2:14" ht="7.5" customHeight="1" x14ac:dyDescent="0.25">
      <c r="B8" s="284"/>
      <c r="C8" s="284"/>
      <c r="D8" s="284"/>
      <c r="E8" s="284"/>
      <c r="F8" s="284"/>
      <c r="G8" s="284"/>
      <c r="H8" s="284"/>
      <c r="I8" s="284"/>
      <c r="J8" s="284"/>
    </row>
    <row r="9" spans="2:14" ht="22.5" customHeight="1" x14ac:dyDescent="0.25">
      <c r="B9" s="573" t="s">
        <v>223</v>
      </c>
      <c r="C9" s="590"/>
      <c r="D9" s="590"/>
      <c r="E9" s="590"/>
      <c r="F9" s="590"/>
      <c r="G9" s="590"/>
      <c r="H9" s="590"/>
      <c r="I9" s="590"/>
      <c r="J9" s="574"/>
      <c r="K9" s="5"/>
    </row>
    <row r="10" spans="2:14" ht="22.5" customHeight="1" x14ac:dyDescent="0.25">
      <c r="B10" s="291"/>
      <c r="C10" s="291"/>
      <c r="D10" s="291"/>
      <c r="E10" s="291"/>
      <c r="F10" s="291"/>
      <c r="G10" s="291"/>
      <c r="H10" s="291"/>
      <c r="I10" s="291"/>
      <c r="J10" s="291"/>
    </row>
    <row r="11" spans="2:14" ht="22.5" customHeight="1" x14ac:dyDescent="0.25">
      <c r="B11" s="291"/>
      <c r="C11" s="291"/>
      <c r="D11" s="292" t="s">
        <v>224</v>
      </c>
      <c r="E11" s="292" t="s">
        <v>225</v>
      </c>
      <c r="F11" s="292" t="s">
        <v>226</v>
      </c>
      <c r="G11" s="292" t="s">
        <v>227</v>
      </c>
      <c r="H11" s="292" t="s">
        <v>228</v>
      </c>
      <c r="I11" s="292" t="s">
        <v>229</v>
      </c>
      <c r="J11" s="284"/>
    </row>
    <row r="12" spans="2:14" ht="23.25" customHeight="1" x14ac:dyDescent="0.25">
      <c r="B12" s="591" t="s">
        <v>230</v>
      </c>
      <c r="C12" s="592"/>
      <c r="D12" s="294">
        <v>0.41830000000000001</v>
      </c>
      <c r="E12" s="293">
        <v>0.11</v>
      </c>
      <c r="F12" s="294">
        <v>0.87629999999999997</v>
      </c>
      <c r="G12" s="295">
        <v>0.8</v>
      </c>
      <c r="H12" s="295">
        <v>0.94020000000000004</v>
      </c>
      <c r="I12" s="295">
        <v>0.26</v>
      </c>
      <c r="J12" s="284"/>
    </row>
    <row r="13" spans="2:14" ht="22.5" customHeight="1" x14ac:dyDescent="0.25">
      <c r="B13" s="593" t="s">
        <v>231</v>
      </c>
      <c r="C13" s="592"/>
      <c r="D13" s="293">
        <f>Índex!$F8</f>
        <v>0.8</v>
      </c>
      <c r="E13" s="293">
        <f>Índex!$F8</f>
        <v>0.8</v>
      </c>
      <c r="F13" s="293">
        <f>Índex!$F8</f>
        <v>0.8</v>
      </c>
      <c r="G13" s="293">
        <f>Índex!$F8</f>
        <v>0.8</v>
      </c>
      <c r="H13" s="293">
        <f>Índex!$F8</f>
        <v>0.8</v>
      </c>
      <c r="I13" s="293">
        <f>Índex!$F8</f>
        <v>0.8</v>
      </c>
      <c r="J13" s="284"/>
    </row>
    <row r="14" spans="2:14" ht="22.5" customHeight="1" x14ac:dyDescent="0.25">
      <c r="B14" s="593" t="s">
        <v>232</v>
      </c>
      <c r="C14" s="592"/>
      <c r="D14" s="294">
        <f t="shared" ref="D14:I14" si="0">D12/D13</f>
        <v>0.52287499999999998</v>
      </c>
      <c r="E14" s="294">
        <f t="shared" si="0"/>
        <v>0.13749999999999998</v>
      </c>
      <c r="F14" s="294">
        <f t="shared" si="0"/>
        <v>1.095375</v>
      </c>
      <c r="G14" s="295">
        <f t="shared" si="0"/>
        <v>1</v>
      </c>
      <c r="H14" s="295">
        <f t="shared" si="0"/>
        <v>1.1752499999999999</v>
      </c>
      <c r="I14" s="295">
        <f t="shared" si="0"/>
        <v>0.32500000000000001</v>
      </c>
      <c r="J14" s="284"/>
    </row>
    <row r="15" spans="2:14" ht="9.75" customHeight="1" x14ac:dyDescent="0.3">
      <c r="B15" s="296"/>
      <c r="C15" s="296"/>
      <c r="D15" s="291"/>
      <c r="E15" s="291"/>
      <c r="F15" s="291"/>
      <c r="G15" s="291"/>
      <c r="H15" s="291"/>
      <c r="I15" s="291"/>
      <c r="J15" s="291"/>
    </row>
    <row r="16" spans="2:14" ht="22.5" customHeight="1" x14ac:dyDescent="0.25">
      <c r="B16" s="573" t="s">
        <v>233</v>
      </c>
      <c r="C16" s="590"/>
      <c r="D16" s="590"/>
      <c r="E16" s="574"/>
      <c r="F16" s="297"/>
      <c r="G16" s="284"/>
      <c r="H16" s="284"/>
      <c r="I16" s="284"/>
      <c r="J16" s="284"/>
      <c r="K16" s="594" t="s">
        <v>234</v>
      </c>
      <c r="L16" s="595"/>
      <c r="M16" s="595"/>
      <c r="N16" s="596"/>
    </row>
    <row r="18" spans="8:14" ht="22.5" customHeight="1" x14ac:dyDescent="0.2">
      <c r="K18" s="579" t="s">
        <v>172</v>
      </c>
      <c r="L18" s="580"/>
      <c r="M18" s="580"/>
      <c r="N18" s="581"/>
    </row>
    <row r="19" spans="8:14" ht="22.5" customHeight="1" x14ac:dyDescent="0.2">
      <c r="K19" s="582"/>
      <c r="L19" s="583"/>
      <c r="M19" s="583"/>
      <c r="N19" s="584"/>
    </row>
    <row r="20" spans="8:14" ht="22.5" customHeight="1" x14ac:dyDescent="0.2">
      <c r="K20" s="582"/>
      <c r="L20" s="583"/>
      <c r="M20" s="583"/>
      <c r="N20" s="584"/>
    </row>
    <row r="21" spans="8:14" ht="22.5" customHeight="1" x14ac:dyDescent="0.2">
      <c r="K21" s="582"/>
      <c r="L21" s="583"/>
      <c r="M21" s="583"/>
      <c r="N21" s="584"/>
    </row>
    <row r="22" spans="8:14" ht="22.5" customHeight="1" x14ac:dyDescent="0.2">
      <c r="K22" s="582"/>
      <c r="L22" s="583"/>
      <c r="M22" s="583"/>
      <c r="N22" s="584"/>
    </row>
    <row r="23" spans="8:14" ht="22.5" customHeight="1" x14ac:dyDescent="0.2">
      <c r="K23" s="582"/>
      <c r="L23" s="583"/>
      <c r="M23" s="583"/>
      <c r="N23" s="584"/>
    </row>
    <row r="24" spans="8:14" ht="22.5" customHeight="1" x14ac:dyDescent="0.2">
      <c r="K24" s="582"/>
      <c r="L24" s="583"/>
      <c r="M24" s="583"/>
      <c r="N24" s="584"/>
    </row>
    <row r="25" spans="8:14" ht="22.5" customHeight="1" x14ac:dyDescent="0.2">
      <c r="K25" s="582"/>
      <c r="L25" s="583"/>
      <c r="M25" s="583"/>
      <c r="N25" s="584"/>
    </row>
    <row r="26" spans="8:14" ht="22.5" customHeight="1" x14ac:dyDescent="0.2">
      <c r="K26" s="585"/>
      <c r="L26" s="586"/>
      <c r="M26" s="586"/>
      <c r="N26" s="587"/>
    </row>
    <row r="27" spans="8:14" ht="6" customHeight="1" x14ac:dyDescent="0.2"/>
    <row r="28" spans="8:14" ht="19.5" customHeight="1" x14ac:dyDescent="0.2">
      <c r="H28" s="588" t="s">
        <v>172</v>
      </c>
      <c r="I28" s="589"/>
      <c r="J28" s="589"/>
    </row>
  </sheetData>
  <sheetProtection algorithmName="SHA-512" hashValue="RR6oktKMAMq+nqov/u0CFghSi4Al+eEkvf+cvgZRgmNlNorEVvbOjrdv2QbJj5s80zgtbewpR125rqwFwijbVg==" saltValue="+Xy43L1N7rZPJk9WhX2eFg==" spinCount="100000" sheet="1" formatCells="0" formatColumns="0" formatRows="0" insertColumns="0" insertRows="0" insertHyperlinks="0" deleteColumns="0" deleteRows="0" autoFilter="0" pivotTables="0"/>
  <mergeCells count="24">
    <mergeCell ref="B2:D2"/>
    <mergeCell ref="E2:J2"/>
    <mergeCell ref="B4:C4"/>
    <mergeCell ref="D4:E4"/>
    <mergeCell ref="F4:G4"/>
    <mergeCell ref="H4:J4"/>
    <mergeCell ref="B5:C5"/>
    <mergeCell ref="H5:J5"/>
    <mergeCell ref="D7:J7"/>
    <mergeCell ref="B9:J9"/>
    <mergeCell ref="D5:E5"/>
    <mergeCell ref="F5:G5"/>
    <mergeCell ref="B6:C6"/>
    <mergeCell ref="D6:E6"/>
    <mergeCell ref="F6:G6"/>
    <mergeCell ref="B7:C7"/>
    <mergeCell ref="H6:J6"/>
    <mergeCell ref="K16:N16"/>
    <mergeCell ref="K18:N26"/>
    <mergeCell ref="H28:J28"/>
    <mergeCell ref="B12:C12"/>
    <mergeCell ref="B13:C13"/>
    <mergeCell ref="B14:C14"/>
    <mergeCell ref="B16:E16"/>
  </mergeCells>
  <pageMargins left="0.7" right="0.7" top="0.75" bottom="0.75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BAB70-0733-4C54-A804-AFA5A3014FB8}">
  <sheetPr>
    <tabColor theme="9" tint="-0.499984740745262"/>
  </sheetPr>
  <dimension ref="A2:L27"/>
  <sheetViews>
    <sheetView workbookViewId="0">
      <selection activeCell="L9" sqref="L9"/>
    </sheetView>
  </sheetViews>
  <sheetFormatPr defaultColWidth="9.140625" defaultRowHeight="12.75" x14ac:dyDescent="0.2"/>
  <cols>
    <col min="3" max="3" width="12.140625" customWidth="1"/>
    <col min="4" max="4" width="10.85546875" customWidth="1"/>
    <col min="5" max="5" width="12" customWidth="1"/>
    <col min="6" max="6" width="11.140625" customWidth="1"/>
    <col min="7" max="7" width="10.85546875" customWidth="1"/>
    <col min="8" max="8" width="11.85546875" customWidth="1"/>
    <col min="9" max="9" width="22.7109375" customWidth="1"/>
  </cols>
  <sheetData>
    <row r="2" spans="1:9" ht="77.25" customHeight="1" x14ac:dyDescent="0.25">
      <c r="A2" s="622"/>
      <c r="B2" s="576"/>
      <c r="C2" s="592"/>
      <c r="D2" s="604" t="s">
        <v>213</v>
      </c>
      <c r="E2" s="576"/>
      <c r="F2" s="576"/>
      <c r="G2" s="576"/>
      <c r="H2" s="576"/>
      <c r="I2" s="592"/>
    </row>
    <row r="3" spans="1:9" ht="16.5" x14ac:dyDescent="0.25">
      <c r="A3" s="299"/>
      <c r="B3" s="299"/>
      <c r="C3" s="300"/>
      <c r="D3" s="300"/>
      <c r="E3" s="300"/>
      <c r="F3" s="300"/>
      <c r="G3" s="300"/>
      <c r="H3" s="300"/>
      <c r="I3" s="298"/>
    </row>
    <row r="4" spans="1:9" ht="46.5" customHeight="1" x14ac:dyDescent="0.25">
      <c r="A4" s="573" t="s">
        <v>214</v>
      </c>
      <c r="B4" s="574"/>
      <c r="C4" s="618" t="str">
        <f>Índex!B9</f>
        <v>PE1-01_Ind03</v>
      </c>
      <c r="D4" s="621"/>
      <c r="E4" s="573" t="s">
        <v>215</v>
      </c>
      <c r="F4" s="574"/>
      <c r="G4" s="618" t="str">
        <f>Índex!C9</f>
        <v>Número d'accions implantades,a  la Facultat de Ciències, directament relacionades amb els ODS (Pla Estratègic 2022/2023 fins 2024/2025)</v>
      </c>
      <c r="H4" s="576"/>
      <c r="I4" s="592"/>
    </row>
    <row r="5" spans="1:9" ht="13.5" x14ac:dyDescent="0.25">
      <c r="A5" s="573" t="s">
        <v>235</v>
      </c>
      <c r="B5" s="574"/>
      <c r="C5" s="618" t="str">
        <f>Índex!F9</f>
        <v>3 accions dins el mandat</v>
      </c>
      <c r="D5" s="621"/>
      <c r="E5" s="599" t="s">
        <v>217</v>
      </c>
      <c r="F5" s="574"/>
      <c r="G5" s="618" t="s">
        <v>236</v>
      </c>
      <c r="H5" s="576"/>
      <c r="I5" s="592"/>
    </row>
    <row r="6" spans="1:9" ht="13.5" x14ac:dyDescent="0.25">
      <c r="A6" s="573" t="s">
        <v>219</v>
      </c>
      <c r="B6" s="574"/>
      <c r="C6" s="618" t="s">
        <v>220</v>
      </c>
      <c r="D6" s="621"/>
      <c r="E6" s="573" t="s">
        <v>221</v>
      </c>
      <c r="F6" s="574"/>
      <c r="G6" s="609" t="str">
        <f>Índex!E9</f>
        <v>Gestora de Qualitat</v>
      </c>
      <c r="H6" s="610"/>
      <c r="I6" s="598"/>
    </row>
    <row r="7" spans="1:9" ht="13.5" x14ac:dyDescent="0.25">
      <c r="A7" s="573" t="s">
        <v>222</v>
      </c>
      <c r="B7" s="574"/>
      <c r="C7" s="618" t="str">
        <f>Índex!G9</f>
        <v xml:space="preserve"> PE1.01. Definició de la Política de Qualitat</v>
      </c>
      <c r="D7" s="576"/>
      <c r="E7" s="576"/>
      <c r="F7" s="576"/>
      <c r="G7" s="576"/>
      <c r="H7" s="576"/>
      <c r="I7" s="592"/>
    </row>
    <row r="8" spans="1:9" ht="13.5" x14ac:dyDescent="0.25">
      <c r="A8" s="298"/>
      <c r="B8" s="298"/>
      <c r="C8" s="298"/>
      <c r="D8" s="298"/>
      <c r="E8" s="298"/>
      <c r="F8" s="298"/>
      <c r="G8" s="298"/>
      <c r="H8" s="298"/>
      <c r="I8" s="298"/>
    </row>
    <row r="9" spans="1:9" ht="13.5" x14ac:dyDescent="0.25">
      <c r="A9" s="573" t="s">
        <v>223</v>
      </c>
      <c r="B9" s="590"/>
      <c r="C9" s="590"/>
      <c r="D9" s="590"/>
      <c r="E9" s="590"/>
      <c r="F9" s="590"/>
      <c r="G9" s="590"/>
      <c r="H9" s="590"/>
      <c r="I9" s="574"/>
    </row>
    <row r="10" spans="1:9" ht="13.5" x14ac:dyDescent="0.25">
      <c r="A10" s="298"/>
      <c r="B10" s="298"/>
      <c r="C10" s="298"/>
      <c r="D10" s="298"/>
      <c r="E10" s="298"/>
      <c r="F10" s="298"/>
      <c r="G10" s="298"/>
      <c r="H10" s="298"/>
      <c r="I10" s="298"/>
    </row>
    <row r="11" spans="1:9" ht="28.5" x14ac:dyDescent="0.25">
      <c r="A11" s="298"/>
      <c r="B11" s="298"/>
      <c r="C11" s="301" t="s">
        <v>224</v>
      </c>
      <c r="D11" s="301" t="s">
        <v>225</v>
      </c>
      <c r="E11" s="301" t="s">
        <v>226</v>
      </c>
      <c r="F11" s="301" t="s">
        <v>227</v>
      </c>
      <c r="G11" s="301" t="s">
        <v>228</v>
      </c>
      <c r="H11" s="301" t="s">
        <v>229</v>
      </c>
      <c r="I11" s="298"/>
    </row>
    <row r="12" spans="1:9" ht="13.5" x14ac:dyDescent="0.25">
      <c r="A12" s="619" t="s">
        <v>230</v>
      </c>
      <c r="B12" s="592"/>
      <c r="C12" s="302" t="s">
        <v>237</v>
      </c>
      <c r="D12" s="302" t="s">
        <v>237</v>
      </c>
      <c r="E12" s="302" t="s">
        <v>237</v>
      </c>
      <c r="F12" s="303" t="s">
        <v>237</v>
      </c>
      <c r="G12" s="303" t="s">
        <v>238</v>
      </c>
      <c r="H12" s="303">
        <v>9</v>
      </c>
      <c r="I12" s="298"/>
    </row>
    <row r="13" spans="1:9" ht="13.5" x14ac:dyDescent="0.25">
      <c r="A13" s="620" t="s">
        <v>231</v>
      </c>
      <c r="B13" s="592"/>
      <c r="C13" s="302" t="s">
        <v>237</v>
      </c>
      <c r="D13" s="302" t="s">
        <v>237</v>
      </c>
      <c r="E13" s="302" t="s">
        <v>237</v>
      </c>
      <c r="F13" s="302" t="s">
        <v>237</v>
      </c>
      <c r="G13" s="302" t="s">
        <v>237</v>
      </c>
      <c r="H13" s="302">
        <v>3</v>
      </c>
      <c r="I13" s="298"/>
    </row>
    <row r="14" spans="1:9" ht="21.75" customHeight="1" x14ac:dyDescent="0.25">
      <c r="A14" s="620" t="s">
        <v>232</v>
      </c>
      <c r="B14" s="592"/>
      <c r="C14" s="304" t="s">
        <v>237</v>
      </c>
      <c r="D14" s="304" t="s">
        <v>237</v>
      </c>
      <c r="E14" s="304" t="s">
        <v>237</v>
      </c>
      <c r="F14" s="305" t="s">
        <v>237</v>
      </c>
      <c r="G14" s="305" t="s">
        <v>237</v>
      </c>
      <c r="H14" s="305">
        <f>H12/H13</f>
        <v>3</v>
      </c>
      <c r="I14" s="298"/>
    </row>
    <row r="17" spans="1:12" ht="13.5" x14ac:dyDescent="0.25">
      <c r="A17" s="573" t="s">
        <v>233</v>
      </c>
      <c r="B17" s="590"/>
      <c r="C17" s="590"/>
      <c r="D17" s="574"/>
      <c r="E17" s="298"/>
      <c r="F17" s="298"/>
      <c r="G17" s="298"/>
      <c r="H17" s="298"/>
      <c r="I17" s="573" t="s">
        <v>234</v>
      </c>
      <c r="J17" s="590"/>
      <c r="K17" s="590"/>
      <c r="L17" s="574"/>
    </row>
    <row r="18" spans="1:12" ht="16.5" x14ac:dyDescent="0.25">
      <c r="A18" s="298"/>
      <c r="B18" s="298"/>
      <c r="C18" s="298"/>
      <c r="D18" s="298"/>
      <c r="E18" s="298"/>
      <c r="F18" s="298"/>
      <c r="G18" s="298"/>
      <c r="H18" s="298"/>
      <c r="I18" s="306"/>
      <c r="J18" s="306"/>
      <c r="K18" s="306"/>
      <c r="L18" s="306"/>
    </row>
    <row r="19" spans="1:12" ht="13.5" x14ac:dyDescent="0.25">
      <c r="A19" s="298"/>
      <c r="B19" s="298"/>
      <c r="C19" s="298"/>
      <c r="D19" s="298"/>
      <c r="E19" s="298"/>
      <c r="F19" s="298"/>
      <c r="G19" s="298"/>
      <c r="H19" s="298"/>
      <c r="I19" s="611" t="s">
        <v>239</v>
      </c>
      <c r="J19" s="612"/>
      <c r="K19" s="612"/>
      <c r="L19" s="613"/>
    </row>
    <row r="20" spans="1:12" ht="13.5" x14ac:dyDescent="0.25">
      <c r="A20" s="298"/>
      <c r="B20" s="298"/>
      <c r="C20" s="298"/>
      <c r="D20" s="298"/>
      <c r="E20" s="298"/>
      <c r="F20" s="298"/>
      <c r="G20" s="298"/>
      <c r="H20" s="298"/>
      <c r="I20" s="614"/>
      <c r="J20" s="615"/>
      <c r="K20" s="615"/>
      <c r="L20" s="616"/>
    </row>
    <row r="21" spans="1:12" ht="13.5" x14ac:dyDescent="0.25">
      <c r="A21" s="298"/>
      <c r="B21" s="298"/>
      <c r="C21" s="298"/>
      <c r="D21" s="298"/>
      <c r="E21" s="298"/>
      <c r="F21" s="298"/>
      <c r="G21" s="298"/>
      <c r="H21" s="298"/>
      <c r="I21" s="614"/>
      <c r="J21" s="615"/>
      <c r="K21" s="615"/>
      <c r="L21" s="616"/>
    </row>
    <row r="22" spans="1:12" ht="13.5" x14ac:dyDescent="0.25">
      <c r="A22" s="298"/>
      <c r="B22" s="298"/>
      <c r="C22" s="298"/>
      <c r="D22" s="298"/>
      <c r="E22" s="298"/>
      <c r="F22" s="298"/>
      <c r="G22" s="298"/>
      <c r="H22" s="298"/>
      <c r="I22" s="614"/>
      <c r="J22" s="615"/>
      <c r="K22" s="615"/>
      <c r="L22" s="616"/>
    </row>
    <row r="23" spans="1:12" ht="13.5" x14ac:dyDescent="0.25">
      <c r="A23" s="298"/>
      <c r="B23" s="298"/>
      <c r="C23" s="298"/>
      <c r="D23" s="298"/>
      <c r="E23" s="298"/>
      <c r="F23" s="298"/>
      <c r="G23" s="298"/>
      <c r="H23" s="298"/>
      <c r="I23" s="614"/>
      <c r="J23" s="615"/>
      <c r="K23" s="615"/>
      <c r="L23" s="616"/>
    </row>
    <row r="24" spans="1:12" ht="13.5" x14ac:dyDescent="0.25">
      <c r="A24" s="298"/>
      <c r="B24" s="298"/>
      <c r="C24" s="298"/>
      <c r="D24" s="298"/>
      <c r="E24" s="298"/>
      <c r="F24" s="298"/>
      <c r="G24" s="298"/>
      <c r="H24" s="298"/>
      <c r="I24" s="614"/>
      <c r="J24" s="615"/>
      <c r="K24" s="615"/>
      <c r="L24" s="616"/>
    </row>
    <row r="25" spans="1:12" ht="13.5" x14ac:dyDescent="0.25">
      <c r="A25" s="298"/>
      <c r="B25" s="298"/>
      <c r="C25" s="298"/>
      <c r="D25" s="298"/>
      <c r="E25" s="298"/>
      <c r="F25" s="298"/>
      <c r="G25" s="298"/>
      <c r="H25" s="298"/>
      <c r="I25" s="614"/>
      <c r="J25" s="615"/>
      <c r="K25" s="615"/>
      <c r="L25" s="616"/>
    </row>
    <row r="26" spans="1:12" ht="13.5" x14ac:dyDescent="0.25">
      <c r="A26" s="298"/>
      <c r="B26" s="298"/>
      <c r="C26" s="298"/>
      <c r="D26" s="298"/>
      <c r="E26" s="298"/>
      <c r="F26" s="298"/>
      <c r="G26" s="298"/>
      <c r="H26" s="298"/>
      <c r="I26" s="614"/>
      <c r="J26" s="615"/>
      <c r="K26" s="615"/>
      <c r="L26" s="616"/>
    </row>
    <row r="27" spans="1:12" ht="13.5" x14ac:dyDescent="0.25">
      <c r="A27" s="298"/>
      <c r="B27" s="298"/>
      <c r="C27" s="298"/>
      <c r="D27" s="298"/>
      <c r="E27" s="298"/>
      <c r="F27" s="298"/>
      <c r="G27" s="298"/>
      <c r="H27" s="298"/>
      <c r="I27" s="617"/>
      <c r="J27" s="577"/>
      <c r="K27" s="577"/>
      <c r="L27" s="578"/>
    </row>
  </sheetData>
  <sheetProtection algorithmName="SHA-512" hashValue="Dnfy3hMarVM35YLrW6vJQJbsmZXUhSYpxtEye1b5qwT57eDGFv7shSAuxIGU2SzLL7ffQg/qxiswxFmwbiQiPg==" saltValue="WCknGRZkLKp4pPE4a8HZVw==" spinCount="100000" sheet="1" formatCells="0" formatColumns="0" formatRows="0" insertColumns="0" insertRows="0" insertHyperlinks="0" deleteColumns="0" deleteRows="0" pivotTables="0"/>
  <mergeCells count="23">
    <mergeCell ref="A2:C2"/>
    <mergeCell ref="D2:I2"/>
    <mergeCell ref="A4:B4"/>
    <mergeCell ref="C4:D4"/>
    <mergeCell ref="E4:F4"/>
    <mergeCell ref="G4:I4"/>
    <mergeCell ref="A5:B5"/>
    <mergeCell ref="C5:D5"/>
    <mergeCell ref="E5:F5"/>
    <mergeCell ref="G5:I5"/>
    <mergeCell ref="A6:B6"/>
    <mergeCell ref="C6:D6"/>
    <mergeCell ref="E6:F6"/>
    <mergeCell ref="G6:I6"/>
    <mergeCell ref="A17:D17"/>
    <mergeCell ref="I17:L17"/>
    <mergeCell ref="I19:L27"/>
    <mergeCell ref="A7:B7"/>
    <mergeCell ref="C7:I7"/>
    <mergeCell ref="A9:I9"/>
    <mergeCell ref="A12:B12"/>
    <mergeCell ref="A13:B13"/>
    <mergeCell ref="A14:B1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79181-C417-45B4-B3BD-07164E145844}">
  <sheetPr>
    <tabColor theme="9" tint="-0.499984740745262"/>
    <pageSetUpPr fitToPage="1"/>
  </sheetPr>
  <dimension ref="B2:N28"/>
  <sheetViews>
    <sheetView showGridLines="0" workbookViewId="0">
      <selection activeCell="H6" sqref="H6:J6"/>
    </sheetView>
  </sheetViews>
  <sheetFormatPr defaultColWidth="12.5703125" defaultRowHeight="15.75" customHeight="1" x14ac:dyDescent="0.2"/>
  <cols>
    <col min="1" max="1" width="3.42578125" customWidth="1"/>
    <col min="2" max="2" width="14.140625" customWidth="1"/>
    <col min="3" max="9" width="12.5703125" customWidth="1"/>
    <col min="10" max="10" width="17.42578125" bestFit="1" customWidth="1"/>
    <col min="11" max="13" width="8.85546875" customWidth="1"/>
    <col min="14" max="23" width="7.5703125" customWidth="1"/>
  </cols>
  <sheetData>
    <row r="2" spans="2:14" ht="55.5" customHeight="1" x14ac:dyDescent="0.25">
      <c r="B2" s="603"/>
      <c r="C2" s="576"/>
      <c r="D2" s="592"/>
      <c r="E2" s="604" t="s">
        <v>213</v>
      </c>
      <c r="F2" s="576"/>
      <c r="G2" s="576"/>
      <c r="H2" s="576"/>
      <c r="I2" s="576"/>
      <c r="J2" s="592"/>
      <c r="K2" s="3"/>
      <c r="L2" s="3"/>
      <c r="M2" s="3"/>
    </row>
    <row r="3" spans="2:14" ht="22.5" customHeight="1" x14ac:dyDescent="0.25">
      <c r="B3" s="286"/>
      <c r="C3" s="286"/>
      <c r="D3" s="287"/>
      <c r="E3" s="287"/>
      <c r="F3" s="287"/>
      <c r="G3" s="287"/>
      <c r="H3" s="287"/>
      <c r="I3" s="287"/>
      <c r="J3" s="284"/>
    </row>
    <row r="4" spans="2:14" ht="42.75" customHeight="1" x14ac:dyDescent="0.25">
      <c r="B4" s="573" t="s">
        <v>214</v>
      </c>
      <c r="C4" s="574"/>
      <c r="D4" s="575" t="str">
        <f>Índex!B10</f>
        <v>PE1.01_Ind04</v>
      </c>
      <c r="E4" s="592"/>
      <c r="F4" s="573" t="s">
        <v>215</v>
      </c>
      <c r="G4" s="574"/>
      <c r="H4" s="605" t="str">
        <f>Índex!C10</f>
        <v>Percentatge d'assistència, del degà, a les sessions de les Comissions del Rectorat  (Pla Estratègic 2022/2023 fins 2024/2025)</v>
      </c>
      <c r="I4" s="606"/>
      <c r="J4" s="607"/>
    </row>
    <row r="5" spans="2:14" ht="22.5" customHeight="1" x14ac:dyDescent="0.25">
      <c r="B5" s="573" t="s">
        <v>235</v>
      </c>
      <c r="C5" s="574"/>
      <c r="D5" s="608">
        <f>Índex!F10</f>
        <v>0.9</v>
      </c>
      <c r="E5" s="598"/>
      <c r="F5" s="599" t="s">
        <v>217</v>
      </c>
      <c r="G5" s="574"/>
      <c r="H5" s="605" t="s">
        <v>236</v>
      </c>
      <c r="I5" s="606"/>
      <c r="J5" s="607"/>
    </row>
    <row r="6" spans="2:14" ht="22.5" customHeight="1" x14ac:dyDescent="0.25">
      <c r="B6" s="573" t="s">
        <v>219</v>
      </c>
      <c r="C6" s="574"/>
      <c r="D6" s="575" t="s">
        <v>220</v>
      </c>
      <c r="E6" s="592"/>
      <c r="F6" s="573" t="s">
        <v>221</v>
      </c>
      <c r="G6" s="574"/>
      <c r="H6" s="609" t="str">
        <f>Índex!E10</f>
        <v>Gestora de Qualitat</v>
      </c>
      <c r="I6" s="610"/>
      <c r="J6" s="598"/>
    </row>
    <row r="7" spans="2:14" ht="22.5" customHeight="1" x14ac:dyDescent="0.25">
      <c r="B7" s="573" t="s">
        <v>222</v>
      </c>
      <c r="C7" s="574"/>
      <c r="D7" s="575" t="str">
        <f>Índex!G10</f>
        <v xml:space="preserve"> PE1.01. Definició de la Política de Qualitat</v>
      </c>
      <c r="E7" s="576"/>
      <c r="F7" s="576"/>
      <c r="G7" s="576"/>
      <c r="H7" s="576"/>
      <c r="I7" s="576"/>
      <c r="J7" s="592"/>
      <c r="K7" s="4"/>
    </row>
    <row r="8" spans="2:14" ht="7.5" customHeight="1" x14ac:dyDescent="0.25">
      <c r="B8" s="284"/>
      <c r="C8" s="284"/>
      <c r="D8" s="284"/>
      <c r="E8" s="284"/>
      <c r="F8" s="284"/>
      <c r="G8" s="284"/>
      <c r="H8" s="284"/>
      <c r="I8" s="284"/>
      <c r="J8" s="284"/>
    </row>
    <row r="9" spans="2:14" ht="22.5" customHeight="1" x14ac:dyDescent="0.25">
      <c r="B9" s="573" t="s">
        <v>223</v>
      </c>
      <c r="C9" s="590"/>
      <c r="D9" s="590"/>
      <c r="E9" s="590"/>
      <c r="F9" s="590"/>
      <c r="G9" s="590"/>
      <c r="H9" s="590"/>
      <c r="I9" s="590"/>
      <c r="J9" s="574"/>
      <c r="K9" s="5"/>
    </row>
    <row r="10" spans="2:14" ht="22.5" customHeight="1" x14ac:dyDescent="0.25">
      <c r="B10" s="291"/>
      <c r="C10" s="291"/>
      <c r="D10" s="291"/>
      <c r="E10" s="291"/>
      <c r="F10" s="291"/>
      <c r="G10" s="291"/>
      <c r="H10" s="291"/>
      <c r="I10" s="291"/>
      <c r="J10" s="291"/>
    </row>
    <row r="11" spans="2:14" ht="22.5" customHeight="1" x14ac:dyDescent="0.25">
      <c r="B11" s="291"/>
      <c r="C11" s="291"/>
      <c r="D11" s="292" t="s">
        <v>224</v>
      </c>
      <c r="E11" s="292" t="s">
        <v>225</v>
      </c>
      <c r="F11" s="292" t="s">
        <v>226</v>
      </c>
      <c r="G11" s="292" t="s">
        <v>227</v>
      </c>
      <c r="H11" s="292" t="s">
        <v>228</v>
      </c>
      <c r="I11" s="292" t="s">
        <v>229</v>
      </c>
      <c r="J11" s="284"/>
    </row>
    <row r="12" spans="2:14" ht="23.25" customHeight="1" x14ac:dyDescent="0.25">
      <c r="B12" s="591" t="s">
        <v>230</v>
      </c>
      <c r="C12" s="592"/>
      <c r="D12" s="294" t="s">
        <v>237</v>
      </c>
      <c r="E12" s="293" t="s">
        <v>237</v>
      </c>
      <c r="F12" s="294" t="s">
        <v>237</v>
      </c>
      <c r="G12" s="295" t="s">
        <v>237</v>
      </c>
      <c r="H12" s="295">
        <v>0.9</v>
      </c>
      <c r="I12" s="295">
        <v>0.97</v>
      </c>
      <c r="J12" s="284"/>
    </row>
    <row r="13" spans="2:14" ht="22.5" customHeight="1" x14ac:dyDescent="0.25">
      <c r="B13" s="593" t="s">
        <v>231</v>
      </c>
      <c r="C13" s="592"/>
      <c r="D13" s="293">
        <f>Índex!$F10</f>
        <v>0.9</v>
      </c>
      <c r="E13" s="293">
        <f>Índex!$F10</f>
        <v>0.9</v>
      </c>
      <c r="F13" s="293">
        <f>Índex!$F10</f>
        <v>0.9</v>
      </c>
      <c r="G13" s="293">
        <f>Índex!$F10</f>
        <v>0.9</v>
      </c>
      <c r="H13" s="293">
        <f>Índex!$F10</f>
        <v>0.9</v>
      </c>
      <c r="I13" s="293">
        <f>Índex!$F10</f>
        <v>0.9</v>
      </c>
      <c r="J13" s="284"/>
    </row>
    <row r="14" spans="2:14" ht="22.5" customHeight="1" x14ac:dyDescent="0.25">
      <c r="B14" s="593" t="s">
        <v>232</v>
      </c>
      <c r="C14" s="592"/>
      <c r="D14" s="294" t="s">
        <v>237</v>
      </c>
      <c r="E14" s="294" t="s">
        <v>237</v>
      </c>
      <c r="F14" s="294" t="s">
        <v>237</v>
      </c>
      <c r="G14" s="295" t="s">
        <v>237</v>
      </c>
      <c r="H14" s="295">
        <f t="shared" ref="H14:I14" si="0">H12/H13</f>
        <v>1</v>
      </c>
      <c r="I14" s="295">
        <f t="shared" si="0"/>
        <v>1.0777777777777777</v>
      </c>
      <c r="J14" s="284"/>
    </row>
    <row r="15" spans="2:14" ht="9.75" customHeight="1" x14ac:dyDescent="0.3">
      <c r="B15" s="296"/>
      <c r="C15" s="296"/>
      <c r="D15" s="291"/>
      <c r="E15" s="291"/>
      <c r="F15" s="291"/>
      <c r="G15" s="291"/>
      <c r="H15" s="291"/>
      <c r="I15" s="291"/>
      <c r="J15" s="291"/>
    </row>
    <row r="16" spans="2:14" ht="22.5" customHeight="1" x14ac:dyDescent="0.25">
      <c r="B16" s="573" t="s">
        <v>233</v>
      </c>
      <c r="C16" s="590"/>
      <c r="D16" s="590"/>
      <c r="E16" s="574"/>
      <c r="F16" s="297"/>
      <c r="G16" s="284"/>
      <c r="H16" s="284"/>
      <c r="I16" s="284"/>
      <c r="J16" s="284"/>
      <c r="K16" s="594" t="s">
        <v>234</v>
      </c>
      <c r="L16" s="595"/>
      <c r="M16" s="595"/>
      <c r="N16" s="596"/>
    </row>
    <row r="18" spans="8:14" ht="22.5" customHeight="1" x14ac:dyDescent="0.2">
      <c r="K18" s="579" t="s">
        <v>172</v>
      </c>
      <c r="L18" s="580"/>
      <c r="M18" s="580"/>
      <c r="N18" s="581"/>
    </row>
    <row r="19" spans="8:14" ht="22.5" customHeight="1" x14ac:dyDescent="0.2">
      <c r="K19" s="582"/>
      <c r="L19" s="583"/>
      <c r="M19" s="583"/>
      <c r="N19" s="584"/>
    </row>
    <row r="20" spans="8:14" ht="22.5" customHeight="1" x14ac:dyDescent="0.2">
      <c r="K20" s="582"/>
      <c r="L20" s="583"/>
      <c r="M20" s="583"/>
      <c r="N20" s="584"/>
    </row>
    <row r="21" spans="8:14" ht="22.5" customHeight="1" x14ac:dyDescent="0.2">
      <c r="K21" s="582"/>
      <c r="L21" s="583"/>
      <c r="M21" s="583"/>
      <c r="N21" s="584"/>
    </row>
    <row r="22" spans="8:14" ht="22.5" customHeight="1" x14ac:dyDescent="0.2">
      <c r="K22" s="582"/>
      <c r="L22" s="583"/>
      <c r="M22" s="583"/>
      <c r="N22" s="584"/>
    </row>
    <row r="23" spans="8:14" ht="22.5" customHeight="1" x14ac:dyDescent="0.2">
      <c r="K23" s="582"/>
      <c r="L23" s="583"/>
      <c r="M23" s="583"/>
      <c r="N23" s="584"/>
    </row>
    <row r="24" spans="8:14" ht="22.5" customHeight="1" x14ac:dyDescent="0.2">
      <c r="K24" s="582"/>
      <c r="L24" s="583"/>
      <c r="M24" s="583"/>
      <c r="N24" s="584"/>
    </row>
    <row r="25" spans="8:14" ht="22.5" customHeight="1" x14ac:dyDescent="0.2">
      <c r="K25" s="582"/>
      <c r="L25" s="583"/>
      <c r="M25" s="583"/>
      <c r="N25" s="584"/>
    </row>
    <row r="26" spans="8:14" ht="22.5" customHeight="1" x14ac:dyDescent="0.2">
      <c r="K26" s="585"/>
      <c r="L26" s="586"/>
      <c r="M26" s="586"/>
      <c r="N26" s="587"/>
    </row>
    <row r="27" spans="8:14" ht="6" customHeight="1" x14ac:dyDescent="0.2"/>
    <row r="28" spans="8:14" ht="19.5" customHeight="1" x14ac:dyDescent="0.2">
      <c r="H28" s="588" t="s">
        <v>172</v>
      </c>
      <c r="I28" s="589"/>
      <c r="J28" s="589"/>
    </row>
  </sheetData>
  <sheetProtection algorithmName="SHA-512" hashValue="NFeIIJZLZbnDEBJCYB23/9uZNDw5FefvPGJkvbjlTQKNAePXulzwboUq9eddu0alxXfXXgjCyPTZ14xAI/P+bw==" saltValue="D0feIPf43drQuTF5iiIJhA==" spinCount="100000" sheet="1" formatCells="0" formatColumns="0" formatRows="0" insertColumns="0" insertRows="0" insertHyperlinks="0" deleteColumns="0" deleteRows="0" pivotTables="0"/>
  <mergeCells count="24">
    <mergeCell ref="B16:E16"/>
    <mergeCell ref="K16:N16"/>
    <mergeCell ref="K18:N26"/>
    <mergeCell ref="H28:J28"/>
    <mergeCell ref="B7:C7"/>
    <mergeCell ref="D7:J7"/>
    <mergeCell ref="B9:J9"/>
    <mergeCell ref="B12:C12"/>
    <mergeCell ref="B13:C13"/>
    <mergeCell ref="B14:C14"/>
    <mergeCell ref="B5:C5"/>
    <mergeCell ref="D5:E5"/>
    <mergeCell ref="F5:G5"/>
    <mergeCell ref="H5:J5"/>
    <mergeCell ref="B6:C6"/>
    <mergeCell ref="D6:E6"/>
    <mergeCell ref="F6:G6"/>
    <mergeCell ref="H6:J6"/>
    <mergeCell ref="B2:D2"/>
    <mergeCell ref="E2:J2"/>
    <mergeCell ref="B4:C4"/>
    <mergeCell ref="D4:E4"/>
    <mergeCell ref="F4:G4"/>
    <mergeCell ref="H4:J4"/>
  </mergeCells>
  <pageMargins left="0.7" right="0.7" top="0.75" bottom="0.75" header="0" footer="0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F2D86-61E5-43D3-ACA2-77245E1E016C}">
  <sheetPr>
    <tabColor theme="9" tint="-0.499984740745262"/>
    <pageSetUpPr fitToPage="1"/>
  </sheetPr>
  <dimension ref="B2:N28"/>
  <sheetViews>
    <sheetView showGridLines="0" workbookViewId="0">
      <selection activeCell="H6" sqref="H6:J6"/>
    </sheetView>
  </sheetViews>
  <sheetFormatPr defaultColWidth="12.5703125" defaultRowHeight="15.75" customHeight="1" x14ac:dyDescent="0.2"/>
  <cols>
    <col min="1" max="1" width="3.42578125" customWidth="1"/>
    <col min="2" max="2" width="14.140625" customWidth="1"/>
    <col min="3" max="9" width="12.5703125" customWidth="1"/>
    <col min="10" max="10" width="17.42578125" bestFit="1" customWidth="1"/>
    <col min="11" max="13" width="8.85546875" customWidth="1"/>
    <col min="14" max="23" width="7.5703125" customWidth="1"/>
  </cols>
  <sheetData>
    <row r="2" spans="2:14" ht="55.5" customHeight="1" x14ac:dyDescent="0.25">
      <c r="B2" s="603"/>
      <c r="C2" s="576"/>
      <c r="D2" s="592"/>
      <c r="E2" s="604" t="s">
        <v>213</v>
      </c>
      <c r="F2" s="576"/>
      <c r="G2" s="576"/>
      <c r="H2" s="576"/>
      <c r="I2" s="576"/>
      <c r="J2" s="592"/>
      <c r="K2" s="3"/>
      <c r="L2" s="3"/>
      <c r="M2" s="3"/>
    </row>
    <row r="3" spans="2:14" ht="22.5" customHeight="1" x14ac:dyDescent="0.25">
      <c r="B3" s="286"/>
      <c r="C3" s="286"/>
      <c r="D3" s="287"/>
      <c r="E3" s="287"/>
      <c r="F3" s="287"/>
      <c r="G3" s="287"/>
      <c r="H3" s="287"/>
      <c r="I3" s="287"/>
      <c r="J3" s="284"/>
    </row>
    <row r="4" spans="2:14" ht="42.75" customHeight="1" x14ac:dyDescent="0.25">
      <c r="B4" s="573" t="s">
        <v>214</v>
      </c>
      <c r="C4" s="574"/>
      <c r="D4" s="575" t="str">
        <f>Índex!B11</f>
        <v>PE1.02_Ind01.</v>
      </c>
      <c r="E4" s="592"/>
      <c r="F4" s="573" t="s">
        <v>215</v>
      </c>
      <c r="G4" s="574"/>
      <c r="H4" s="605" t="str">
        <f>Índex!C11</f>
        <v>Percentatge de processos modificats a cada revisió</v>
      </c>
      <c r="I4" s="606"/>
      <c r="J4" s="607"/>
    </row>
    <row r="5" spans="2:14" ht="22.5" customHeight="1" x14ac:dyDescent="0.25">
      <c r="B5" s="573" t="s">
        <v>235</v>
      </c>
      <c r="C5" s="574"/>
      <c r="D5" s="608">
        <f>Índex!F11</f>
        <v>0.9</v>
      </c>
      <c r="E5" s="598"/>
      <c r="F5" s="599" t="s">
        <v>217</v>
      </c>
      <c r="G5" s="574"/>
      <c r="H5" s="605" t="s">
        <v>218</v>
      </c>
      <c r="I5" s="606"/>
      <c r="J5" s="607"/>
    </row>
    <row r="6" spans="2:14" ht="22.5" customHeight="1" x14ac:dyDescent="0.25">
      <c r="B6" s="573" t="s">
        <v>219</v>
      </c>
      <c r="C6" s="574"/>
      <c r="D6" s="575" t="s">
        <v>220</v>
      </c>
      <c r="E6" s="592"/>
      <c r="F6" s="573" t="s">
        <v>221</v>
      </c>
      <c r="G6" s="574"/>
      <c r="H6" s="609" t="str">
        <f>Índex!E11</f>
        <v>Gestora de Qualitat</v>
      </c>
      <c r="I6" s="610"/>
      <c r="J6" s="598"/>
    </row>
    <row r="7" spans="2:14" ht="22.5" customHeight="1" x14ac:dyDescent="0.25">
      <c r="B7" s="573" t="s">
        <v>222</v>
      </c>
      <c r="C7" s="574"/>
      <c r="D7" s="575" t="str">
        <f>Índex!G11</f>
        <v xml:space="preserve"> PE1.02. Definició, Desplegament, Seguiment i Revisió del Sistema de Garantia Interna de Qualitat (SGIQ)</v>
      </c>
      <c r="E7" s="576"/>
      <c r="F7" s="576"/>
      <c r="G7" s="576"/>
      <c r="H7" s="576"/>
      <c r="I7" s="576"/>
      <c r="J7" s="592"/>
      <c r="K7" s="4"/>
    </row>
    <row r="8" spans="2:14" ht="7.5" customHeight="1" x14ac:dyDescent="0.25">
      <c r="B8" s="284"/>
      <c r="C8" s="284"/>
      <c r="D8" s="284"/>
      <c r="E8" s="284"/>
      <c r="F8" s="284"/>
      <c r="G8" s="284"/>
      <c r="H8" s="284"/>
      <c r="I8" s="284"/>
      <c r="J8" s="284"/>
    </row>
    <row r="9" spans="2:14" ht="22.5" customHeight="1" x14ac:dyDescent="0.25">
      <c r="B9" s="573" t="s">
        <v>223</v>
      </c>
      <c r="C9" s="590"/>
      <c r="D9" s="590"/>
      <c r="E9" s="590"/>
      <c r="F9" s="590"/>
      <c r="G9" s="590"/>
      <c r="H9" s="590"/>
      <c r="I9" s="590"/>
      <c r="J9" s="574"/>
      <c r="K9" s="5"/>
    </row>
    <row r="10" spans="2:14" ht="22.5" customHeight="1" x14ac:dyDescent="0.25">
      <c r="B10" s="291"/>
      <c r="C10" s="291"/>
      <c r="D10" s="291"/>
      <c r="E10" s="291"/>
      <c r="F10" s="291"/>
      <c r="G10" s="291"/>
      <c r="H10" s="291"/>
      <c r="I10" s="291"/>
      <c r="J10" s="291"/>
    </row>
    <row r="11" spans="2:14" ht="22.5" customHeight="1" x14ac:dyDescent="0.25">
      <c r="B11" s="291"/>
      <c r="C11" s="291"/>
      <c r="D11" s="292" t="s">
        <v>224</v>
      </c>
      <c r="E11" s="292" t="s">
        <v>225</v>
      </c>
      <c r="F11" s="292" t="s">
        <v>226</v>
      </c>
      <c r="G11" s="292" t="s">
        <v>227</v>
      </c>
      <c r="H11" s="292" t="s">
        <v>228</v>
      </c>
      <c r="I11" s="292" t="s">
        <v>229</v>
      </c>
      <c r="J11" s="284"/>
    </row>
    <row r="12" spans="2:14" ht="23.25" customHeight="1" x14ac:dyDescent="0.25">
      <c r="B12" s="591" t="s">
        <v>230</v>
      </c>
      <c r="C12" s="592"/>
      <c r="D12" s="294" t="s">
        <v>237</v>
      </c>
      <c r="E12" s="293" t="s">
        <v>237</v>
      </c>
      <c r="F12" s="294">
        <v>0.96299999999999997</v>
      </c>
      <c r="G12" s="295">
        <v>1</v>
      </c>
      <c r="H12" s="295">
        <v>1</v>
      </c>
      <c r="I12" s="295">
        <v>1</v>
      </c>
      <c r="J12" s="284"/>
    </row>
    <row r="13" spans="2:14" ht="22.5" customHeight="1" x14ac:dyDescent="0.25">
      <c r="B13" s="593" t="s">
        <v>231</v>
      </c>
      <c r="C13" s="592"/>
      <c r="D13" s="293">
        <f>Índex!$F10</f>
        <v>0.9</v>
      </c>
      <c r="E13" s="293">
        <f>Índex!$F10</f>
        <v>0.9</v>
      </c>
      <c r="F13" s="293">
        <f>Índex!$F10</f>
        <v>0.9</v>
      </c>
      <c r="G13" s="293">
        <f>Índex!$F10</f>
        <v>0.9</v>
      </c>
      <c r="H13" s="293">
        <f>Índex!$F10</f>
        <v>0.9</v>
      </c>
      <c r="I13" s="293">
        <f>Índex!$F10</f>
        <v>0.9</v>
      </c>
      <c r="J13" s="284"/>
    </row>
    <row r="14" spans="2:14" ht="22.5" customHeight="1" x14ac:dyDescent="0.25">
      <c r="B14" s="593" t="s">
        <v>232</v>
      </c>
      <c r="C14" s="592"/>
      <c r="D14" s="294" t="s">
        <v>237</v>
      </c>
      <c r="E14" s="294" t="s">
        <v>237</v>
      </c>
      <c r="F14" s="293">
        <f t="shared" ref="F14:I14" si="0">F12/F13</f>
        <v>1.0699999999999998</v>
      </c>
      <c r="G14" s="295">
        <f t="shared" si="0"/>
        <v>1.1111111111111112</v>
      </c>
      <c r="H14" s="295">
        <f t="shared" si="0"/>
        <v>1.1111111111111112</v>
      </c>
      <c r="I14" s="295">
        <f t="shared" si="0"/>
        <v>1.1111111111111112</v>
      </c>
      <c r="J14" s="284"/>
    </row>
    <row r="15" spans="2:14" ht="9.75" customHeight="1" x14ac:dyDescent="0.3">
      <c r="B15" s="296"/>
      <c r="C15" s="296"/>
      <c r="D15" s="291"/>
      <c r="E15" s="291"/>
      <c r="F15" s="291"/>
      <c r="G15" s="291"/>
      <c r="H15" s="291"/>
      <c r="I15" s="291"/>
      <c r="J15" s="291"/>
    </row>
    <row r="16" spans="2:14" ht="22.5" customHeight="1" x14ac:dyDescent="0.25">
      <c r="B16" s="573" t="s">
        <v>233</v>
      </c>
      <c r="C16" s="590"/>
      <c r="D16" s="590"/>
      <c r="E16" s="574"/>
      <c r="F16" s="297"/>
      <c r="G16" s="284"/>
      <c r="H16" s="284"/>
      <c r="I16" s="284"/>
      <c r="J16" s="284"/>
      <c r="K16" s="594" t="s">
        <v>234</v>
      </c>
      <c r="L16" s="595"/>
      <c r="M16" s="595"/>
      <c r="N16" s="596"/>
    </row>
    <row r="18" spans="8:14" ht="22.5" customHeight="1" x14ac:dyDescent="0.2">
      <c r="K18" s="579" t="s">
        <v>172</v>
      </c>
      <c r="L18" s="580"/>
      <c r="M18" s="580"/>
      <c r="N18" s="581"/>
    </row>
    <row r="19" spans="8:14" ht="22.5" customHeight="1" x14ac:dyDescent="0.2">
      <c r="K19" s="582"/>
      <c r="L19" s="583"/>
      <c r="M19" s="583"/>
      <c r="N19" s="584"/>
    </row>
    <row r="20" spans="8:14" ht="22.5" customHeight="1" x14ac:dyDescent="0.2">
      <c r="K20" s="582"/>
      <c r="L20" s="583"/>
      <c r="M20" s="583"/>
      <c r="N20" s="584"/>
    </row>
    <row r="21" spans="8:14" ht="22.5" customHeight="1" x14ac:dyDescent="0.2">
      <c r="K21" s="582"/>
      <c r="L21" s="583"/>
      <c r="M21" s="583"/>
      <c r="N21" s="584"/>
    </row>
    <row r="22" spans="8:14" ht="22.5" customHeight="1" x14ac:dyDescent="0.2">
      <c r="K22" s="582"/>
      <c r="L22" s="583"/>
      <c r="M22" s="583"/>
      <c r="N22" s="584"/>
    </row>
    <row r="23" spans="8:14" ht="22.5" customHeight="1" x14ac:dyDescent="0.2">
      <c r="K23" s="582"/>
      <c r="L23" s="583"/>
      <c r="M23" s="583"/>
      <c r="N23" s="584"/>
    </row>
    <row r="24" spans="8:14" ht="22.5" customHeight="1" x14ac:dyDescent="0.2">
      <c r="K24" s="582"/>
      <c r="L24" s="583"/>
      <c r="M24" s="583"/>
      <c r="N24" s="584"/>
    </row>
    <row r="25" spans="8:14" ht="22.5" customHeight="1" x14ac:dyDescent="0.2">
      <c r="K25" s="582"/>
      <c r="L25" s="583"/>
      <c r="M25" s="583"/>
      <c r="N25" s="584"/>
    </row>
    <row r="26" spans="8:14" ht="22.5" customHeight="1" x14ac:dyDescent="0.2">
      <c r="K26" s="585"/>
      <c r="L26" s="586"/>
      <c r="M26" s="586"/>
      <c r="N26" s="587"/>
    </row>
    <row r="27" spans="8:14" ht="6" customHeight="1" x14ac:dyDescent="0.2"/>
    <row r="28" spans="8:14" ht="19.5" customHeight="1" x14ac:dyDescent="0.2">
      <c r="H28" s="588" t="s">
        <v>172</v>
      </c>
      <c r="I28" s="589"/>
      <c r="J28" s="589"/>
    </row>
  </sheetData>
  <sheetProtection sheet="1" formatCells="0" formatColumns="0" formatRows="0" insertColumns="0" insertRows="0" insertHyperlinks="0" deleteColumns="0" deleteRows="0" pivotTables="0"/>
  <mergeCells count="24">
    <mergeCell ref="B16:E16"/>
    <mergeCell ref="K16:N16"/>
    <mergeCell ref="K18:N26"/>
    <mergeCell ref="H28:J28"/>
    <mergeCell ref="B7:C7"/>
    <mergeCell ref="D7:J7"/>
    <mergeCell ref="B9:J9"/>
    <mergeCell ref="B12:C12"/>
    <mergeCell ref="B13:C13"/>
    <mergeCell ref="B14:C14"/>
    <mergeCell ref="B5:C5"/>
    <mergeCell ref="D5:E5"/>
    <mergeCell ref="F5:G5"/>
    <mergeCell ref="H5:J5"/>
    <mergeCell ref="B6:C6"/>
    <mergeCell ref="D6:E6"/>
    <mergeCell ref="F6:G6"/>
    <mergeCell ref="H6:J6"/>
    <mergeCell ref="B2:D2"/>
    <mergeCell ref="E2:J2"/>
    <mergeCell ref="B4:C4"/>
    <mergeCell ref="D4:E4"/>
    <mergeCell ref="F4:G4"/>
    <mergeCell ref="H4:J4"/>
  </mergeCells>
  <pageMargins left="0.7" right="0.7" top="0.75" bottom="0.75" header="0" footer="0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A3332-660B-4E4D-B5D6-B1E731B48939}">
  <sheetPr>
    <tabColor theme="9" tint="-0.499984740745262"/>
  </sheetPr>
  <dimension ref="A2:I19"/>
  <sheetViews>
    <sheetView workbookViewId="0">
      <selection activeCell="I6" sqref="I6"/>
    </sheetView>
  </sheetViews>
  <sheetFormatPr defaultColWidth="9.140625" defaultRowHeight="12.75" x14ac:dyDescent="0.2"/>
  <cols>
    <col min="3" max="3" width="13.140625" customWidth="1"/>
    <col min="4" max="4" width="15.140625" customWidth="1"/>
    <col min="5" max="5" width="16.28515625" customWidth="1"/>
    <col min="6" max="6" width="14" customWidth="1"/>
    <col min="7" max="7" width="15.28515625" customWidth="1"/>
  </cols>
  <sheetData>
    <row r="2" spans="1:9" ht="43.5" customHeight="1" x14ac:dyDescent="0.25">
      <c r="A2" s="603"/>
      <c r="B2" s="576"/>
      <c r="C2" s="592"/>
      <c r="D2" s="604" t="s">
        <v>213</v>
      </c>
      <c r="E2" s="576"/>
      <c r="F2" s="576"/>
      <c r="G2" s="576"/>
      <c r="H2" s="576"/>
      <c r="I2" s="592"/>
    </row>
    <row r="3" spans="1:9" ht="16.5" x14ac:dyDescent="0.25">
      <c r="A3" s="286"/>
      <c r="B3" s="286"/>
      <c r="C3" s="287"/>
      <c r="D3" s="287"/>
      <c r="E3" s="287"/>
      <c r="F3" s="287"/>
      <c r="G3" s="287"/>
      <c r="H3" s="287"/>
      <c r="I3" s="284"/>
    </row>
    <row r="4" spans="1:9" ht="54" customHeight="1" x14ac:dyDescent="0.25">
      <c r="A4" s="573" t="s">
        <v>214</v>
      </c>
      <c r="B4" s="574"/>
      <c r="C4" s="575" t="str">
        <f>Índex!B12</f>
        <v>PE1.02_Ind02.</v>
      </c>
      <c r="D4" s="592"/>
      <c r="E4" s="573" t="s">
        <v>215</v>
      </c>
      <c r="F4" s="574"/>
      <c r="G4" s="575" t="str">
        <f>Índex!C12</f>
        <v>Nombre d'informes de qualitat presentats a la Junta Permanent i/o Junta de Facultat</v>
      </c>
      <c r="H4" s="576"/>
      <c r="I4" s="592"/>
    </row>
    <row r="5" spans="1:9" ht="29.25" customHeight="1" x14ac:dyDescent="0.25">
      <c r="A5" s="573" t="s">
        <v>216</v>
      </c>
      <c r="B5" s="574"/>
      <c r="C5" s="623" t="str">
        <f>Índex!F12</f>
        <v>mínim 2</v>
      </c>
      <c r="D5" s="592"/>
      <c r="E5" s="599" t="s">
        <v>217</v>
      </c>
      <c r="F5" s="574"/>
      <c r="G5" s="624" t="s">
        <v>218</v>
      </c>
      <c r="H5" s="612"/>
      <c r="I5" s="613"/>
    </row>
    <row r="6" spans="1:9" ht="27" customHeight="1" x14ac:dyDescent="0.25">
      <c r="A6" s="573" t="s">
        <v>219</v>
      </c>
      <c r="B6" s="574"/>
      <c r="C6" s="575" t="s">
        <v>220</v>
      </c>
      <c r="D6" s="592"/>
      <c r="E6" s="573" t="s">
        <v>221</v>
      </c>
      <c r="F6" s="590"/>
      <c r="G6" s="288" t="str">
        <f>Índex!D11</f>
        <v xml:space="preserve"> Vicedegana d'Afers Acadèmics de Grau</v>
      </c>
      <c r="H6" s="289"/>
      <c r="I6" s="290"/>
    </row>
    <row r="7" spans="1:9" ht="27.75" customHeight="1" x14ac:dyDescent="0.25">
      <c r="A7" s="573" t="s">
        <v>222</v>
      </c>
      <c r="B7" s="574"/>
      <c r="C7" s="575" t="str">
        <f>Índex!G12</f>
        <v xml:space="preserve"> PE1.02. Definició, Desplegament, Seguiment i Revisió del Sistema de Garantia Interna de Qualitat (SGIQ)</v>
      </c>
      <c r="D7" s="576"/>
      <c r="E7" s="576"/>
      <c r="F7" s="576"/>
      <c r="G7" s="576"/>
      <c r="H7" s="576"/>
      <c r="I7" s="592"/>
    </row>
    <row r="8" spans="1:9" ht="13.5" x14ac:dyDescent="0.25">
      <c r="A8" s="284"/>
      <c r="B8" s="284"/>
      <c r="C8" s="284"/>
      <c r="D8" s="284"/>
      <c r="E8" s="284"/>
      <c r="F8" s="284"/>
      <c r="G8" s="284"/>
      <c r="H8" s="284"/>
      <c r="I8" s="284"/>
    </row>
    <row r="9" spans="1:9" ht="13.5" x14ac:dyDescent="0.25">
      <c r="A9" s="573" t="s">
        <v>223</v>
      </c>
      <c r="B9" s="590"/>
      <c r="C9" s="590"/>
      <c r="D9" s="590"/>
      <c r="E9" s="590"/>
      <c r="F9" s="590"/>
      <c r="G9" s="590"/>
      <c r="H9" s="590"/>
      <c r="I9" s="574"/>
    </row>
    <row r="10" spans="1:9" ht="13.5" x14ac:dyDescent="0.25">
      <c r="A10" s="284"/>
      <c r="B10" s="284"/>
      <c r="C10" s="284"/>
      <c r="D10" s="284"/>
      <c r="E10" s="284"/>
      <c r="F10" s="284"/>
      <c r="G10" s="284"/>
      <c r="H10" s="284"/>
      <c r="I10" s="284"/>
    </row>
    <row r="11" spans="1:9" ht="14.25" thickBot="1" x14ac:dyDescent="0.3">
      <c r="A11" s="291"/>
      <c r="B11" s="291"/>
      <c r="C11" s="291"/>
      <c r="D11" s="291"/>
      <c r="E11" s="291"/>
      <c r="F11" s="291"/>
      <c r="G11" s="291"/>
      <c r="H11" s="291"/>
      <c r="I11" s="291"/>
    </row>
    <row r="12" spans="1:9" ht="30" customHeight="1" thickBot="1" x14ac:dyDescent="0.3">
      <c r="A12" s="284"/>
      <c r="B12" s="314"/>
      <c r="C12" s="159" t="s">
        <v>225</v>
      </c>
      <c r="D12" s="163" t="s">
        <v>226</v>
      </c>
      <c r="E12" s="372" t="s">
        <v>227</v>
      </c>
      <c r="F12" s="375" t="s">
        <v>228</v>
      </c>
      <c r="G12" s="373" t="s">
        <v>229</v>
      </c>
      <c r="H12" s="284"/>
      <c r="I12" s="284"/>
    </row>
    <row r="13" spans="1:9" ht="15" thickBot="1" x14ac:dyDescent="0.3">
      <c r="A13" s="625" t="s">
        <v>230</v>
      </c>
      <c r="B13" s="626"/>
      <c r="C13" s="160">
        <v>2</v>
      </c>
      <c r="D13" s="160">
        <v>2</v>
      </c>
      <c r="E13" s="164">
        <v>2</v>
      </c>
      <c r="F13" s="374">
        <v>2</v>
      </c>
      <c r="G13" s="374">
        <v>2</v>
      </c>
      <c r="H13" s="284"/>
      <c r="I13" s="284"/>
    </row>
    <row r="14" spans="1:9" ht="15" thickBot="1" x14ac:dyDescent="0.3">
      <c r="A14" s="625" t="s">
        <v>5</v>
      </c>
      <c r="B14" s="626"/>
      <c r="C14" s="161">
        <v>2</v>
      </c>
      <c r="D14" s="161">
        <v>2</v>
      </c>
      <c r="E14" s="165">
        <v>2</v>
      </c>
      <c r="F14" s="374">
        <v>2</v>
      </c>
      <c r="G14" s="374">
        <v>2</v>
      </c>
      <c r="H14" s="291"/>
      <c r="I14" s="291"/>
    </row>
    <row r="15" spans="1:9" ht="15" thickBot="1" x14ac:dyDescent="0.3">
      <c r="A15" s="625" t="s">
        <v>240</v>
      </c>
      <c r="B15" s="626"/>
      <c r="C15" s="162">
        <v>1</v>
      </c>
      <c r="D15" s="162">
        <v>1</v>
      </c>
      <c r="E15" s="166">
        <v>1</v>
      </c>
      <c r="F15" s="376">
        <v>1</v>
      </c>
      <c r="G15" s="377">
        <v>1</v>
      </c>
      <c r="H15" s="284"/>
      <c r="I15" s="284"/>
    </row>
    <row r="19" spans="1:4" x14ac:dyDescent="0.2">
      <c r="A19" s="594" t="s">
        <v>233</v>
      </c>
      <c r="B19" s="595"/>
      <c r="C19" s="595"/>
      <c r="D19" s="596"/>
    </row>
  </sheetData>
  <sheetProtection sheet="1" formatCells="0" formatColumns="0" formatRows="0" insertColumns="0" insertRows="0" insertHyperlinks="0" deleteColumns="0" deleteRows="0" pivotTables="0"/>
  <mergeCells count="20">
    <mergeCell ref="A7:B7"/>
    <mergeCell ref="C7:I7"/>
    <mergeCell ref="A9:I9"/>
    <mergeCell ref="A13:B13"/>
    <mergeCell ref="A19:D19"/>
    <mergeCell ref="A14:B14"/>
    <mergeCell ref="A15:B15"/>
    <mergeCell ref="A5:B5"/>
    <mergeCell ref="C5:D5"/>
    <mergeCell ref="E5:F5"/>
    <mergeCell ref="G5:I5"/>
    <mergeCell ref="A6:B6"/>
    <mergeCell ref="C6:D6"/>
    <mergeCell ref="E6:F6"/>
    <mergeCell ref="A2:C2"/>
    <mergeCell ref="D2:I2"/>
    <mergeCell ref="A4:B4"/>
    <mergeCell ref="C4:D4"/>
    <mergeCell ref="E4:F4"/>
    <mergeCell ref="G4:I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9A983-00A2-4014-860B-A92A53701CF9}">
  <sheetPr>
    <tabColor theme="9" tint="-0.499984740745262"/>
  </sheetPr>
  <dimension ref="A2:I19"/>
  <sheetViews>
    <sheetView workbookViewId="0">
      <selection activeCell="G6" sqref="G6"/>
    </sheetView>
  </sheetViews>
  <sheetFormatPr defaultColWidth="9.140625" defaultRowHeight="12.75" x14ac:dyDescent="0.2"/>
  <cols>
    <col min="3" max="3" width="13.140625" customWidth="1"/>
    <col min="4" max="4" width="15.140625" customWidth="1"/>
    <col min="5" max="5" width="16.28515625" customWidth="1"/>
    <col min="6" max="6" width="14" customWidth="1"/>
    <col min="7" max="7" width="15.28515625" customWidth="1"/>
    <col min="8" max="8" width="10.28515625" customWidth="1"/>
  </cols>
  <sheetData>
    <row r="2" spans="1:9" ht="43.5" customHeight="1" x14ac:dyDescent="0.25">
      <c r="A2" s="603"/>
      <c r="B2" s="576"/>
      <c r="C2" s="592"/>
      <c r="D2" s="604" t="s">
        <v>213</v>
      </c>
      <c r="E2" s="576"/>
      <c r="F2" s="576"/>
      <c r="G2" s="576"/>
      <c r="H2" s="576"/>
      <c r="I2" s="592"/>
    </row>
    <row r="3" spans="1:9" ht="16.5" x14ac:dyDescent="0.25">
      <c r="A3" s="286"/>
      <c r="B3" s="286"/>
      <c r="C3" s="287"/>
      <c r="D3" s="287"/>
      <c r="E3" s="287"/>
      <c r="F3" s="287"/>
      <c r="G3" s="287"/>
      <c r="H3" s="287"/>
      <c r="I3" s="284"/>
    </row>
    <row r="4" spans="1:9" ht="54" customHeight="1" x14ac:dyDescent="0.25">
      <c r="A4" s="573" t="s">
        <v>214</v>
      </c>
      <c r="B4" s="574"/>
      <c r="C4" s="575" t="str">
        <f>Índex!B13</f>
        <v>PE1.02_Ind03</v>
      </c>
      <c r="D4" s="592"/>
      <c r="E4" s="573" t="s">
        <v>215</v>
      </c>
      <c r="F4" s="574"/>
      <c r="G4" s="575" t="str">
        <f>Índex!C13</f>
        <v>Distribució per categories del personal de gestió de qualitat a la Facultat de Ciències.</v>
      </c>
      <c r="H4" s="576"/>
      <c r="I4" s="592"/>
    </row>
    <row r="5" spans="1:9" ht="29.25" customHeight="1" x14ac:dyDescent="0.25">
      <c r="A5" s="573" t="s">
        <v>216</v>
      </c>
      <c r="B5" s="574"/>
      <c r="C5" s="623" t="str">
        <f>Índex!F13</f>
        <v>mínim 2</v>
      </c>
      <c r="D5" s="592"/>
      <c r="E5" s="599" t="s">
        <v>217</v>
      </c>
      <c r="F5" s="574"/>
      <c r="G5" s="624" t="s">
        <v>218</v>
      </c>
      <c r="H5" s="612"/>
      <c r="I5" s="613"/>
    </row>
    <row r="6" spans="1:9" ht="27" customHeight="1" x14ac:dyDescent="0.25">
      <c r="A6" s="573" t="s">
        <v>219</v>
      </c>
      <c r="B6" s="574"/>
      <c r="C6" s="575" t="s">
        <v>220</v>
      </c>
      <c r="D6" s="592"/>
      <c r="E6" s="573" t="s">
        <v>221</v>
      </c>
      <c r="F6" s="590"/>
      <c r="G6" s="288" t="str">
        <f>Índex!D13</f>
        <v xml:space="preserve"> Vicedegana d'Afers Acadèmics de Grau</v>
      </c>
      <c r="H6" s="289"/>
      <c r="I6" s="290"/>
    </row>
    <row r="7" spans="1:9" ht="27.75" customHeight="1" x14ac:dyDescent="0.25">
      <c r="A7" s="573" t="s">
        <v>222</v>
      </c>
      <c r="B7" s="574"/>
      <c r="C7" s="575" t="str">
        <f>Índex!G13</f>
        <v xml:space="preserve"> PE1.02. Definició, Desplegament, Seguiment i Revisió del Sistema de Garantia Interna de Qualitat (SGIQ)</v>
      </c>
      <c r="D7" s="576"/>
      <c r="E7" s="576"/>
      <c r="F7" s="576"/>
      <c r="G7" s="576"/>
      <c r="H7" s="576"/>
      <c r="I7" s="592"/>
    </row>
    <row r="8" spans="1:9" ht="13.5" x14ac:dyDescent="0.25">
      <c r="A8" s="284"/>
      <c r="B8" s="284"/>
      <c r="C8" s="284"/>
      <c r="D8" s="284"/>
      <c r="E8" s="284"/>
      <c r="F8" s="284"/>
      <c r="G8" s="284"/>
      <c r="H8" s="284"/>
      <c r="I8" s="284"/>
    </row>
    <row r="9" spans="1:9" ht="13.5" x14ac:dyDescent="0.25">
      <c r="A9" s="573" t="s">
        <v>223</v>
      </c>
      <c r="B9" s="590"/>
      <c r="C9" s="590"/>
      <c r="D9" s="590"/>
      <c r="E9" s="590"/>
      <c r="F9" s="590"/>
      <c r="G9" s="590"/>
      <c r="H9" s="590"/>
      <c r="I9" s="574"/>
    </row>
    <row r="10" spans="1:9" ht="13.5" x14ac:dyDescent="0.25">
      <c r="A10" s="284"/>
      <c r="B10" s="284"/>
      <c r="C10" s="284"/>
      <c r="D10" s="284"/>
      <c r="E10" s="284"/>
      <c r="F10" s="284"/>
      <c r="G10" s="284"/>
      <c r="H10" s="284"/>
      <c r="I10" s="284"/>
    </row>
    <row r="11" spans="1:9" ht="14.25" thickBot="1" x14ac:dyDescent="0.3">
      <c r="A11" s="291"/>
      <c r="B11" s="291"/>
      <c r="C11" s="291"/>
      <c r="D11" s="291"/>
      <c r="E11" s="291"/>
      <c r="F11" s="291"/>
      <c r="G11" s="291"/>
      <c r="H11" s="291"/>
      <c r="I11" s="291"/>
    </row>
    <row r="12" spans="1:9" ht="30" customHeight="1" thickBot="1" x14ac:dyDescent="0.3">
      <c r="A12" s="284"/>
      <c r="B12" s="314"/>
      <c r="C12" s="159" t="s">
        <v>225</v>
      </c>
      <c r="D12" s="163" t="s">
        <v>226</v>
      </c>
      <c r="E12" s="372" t="s">
        <v>227</v>
      </c>
      <c r="F12" s="375" t="s">
        <v>228</v>
      </c>
      <c r="G12" s="373" t="s">
        <v>229</v>
      </c>
      <c r="H12" s="373" t="s">
        <v>287</v>
      </c>
      <c r="I12" s="284"/>
    </row>
    <row r="13" spans="1:9" ht="15" thickBot="1" x14ac:dyDescent="0.3">
      <c r="A13" s="625" t="s">
        <v>230</v>
      </c>
      <c r="B13" s="626"/>
      <c r="C13" s="160">
        <v>1</v>
      </c>
      <c r="D13" s="160">
        <v>1</v>
      </c>
      <c r="E13" s="164">
        <v>1</v>
      </c>
      <c r="F13" s="374">
        <v>2</v>
      </c>
      <c r="G13" s="374">
        <v>2</v>
      </c>
      <c r="H13" s="374" t="s">
        <v>613</v>
      </c>
      <c r="I13" s="284"/>
    </row>
    <row r="14" spans="1:9" ht="15" thickBot="1" x14ac:dyDescent="0.3">
      <c r="A14" s="625" t="s">
        <v>5</v>
      </c>
      <c r="B14" s="626"/>
      <c r="C14" s="161">
        <v>2</v>
      </c>
      <c r="D14" s="161">
        <v>2</v>
      </c>
      <c r="E14" s="165">
        <v>2</v>
      </c>
      <c r="F14" s="374">
        <v>2</v>
      </c>
      <c r="G14" s="374">
        <v>2</v>
      </c>
      <c r="H14" s="374">
        <v>2</v>
      </c>
      <c r="I14" s="291"/>
    </row>
    <row r="15" spans="1:9" ht="15" thickBot="1" x14ac:dyDescent="0.3">
      <c r="A15" s="625" t="s">
        <v>240</v>
      </c>
      <c r="B15" s="626"/>
      <c r="C15" s="162">
        <v>1</v>
      </c>
      <c r="D15" s="162">
        <v>1</v>
      </c>
      <c r="E15" s="166">
        <v>1</v>
      </c>
      <c r="F15" s="376">
        <v>1</v>
      </c>
      <c r="G15" s="377">
        <v>1</v>
      </c>
      <c r="H15" s="377">
        <v>0.75</v>
      </c>
      <c r="I15" s="284"/>
    </row>
    <row r="19" spans="1:4" x14ac:dyDescent="0.2">
      <c r="A19" s="594" t="s">
        <v>233</v>
      </c>
      <c r="B19" s="595"/>
      <c r="C19" s="595"/>
      <c r="D19" s="596"/>
    </row>
  </sheetData>
  <sheetProtection sheet="1" formatCells="0" formatColumns="0" formatRows="0" insertColumns="0" insertRows="0" insertHyperlinks="0" deleteColumns="0" deleteRows="0" pivotTables="0"/>
  <mergeCells count="20">
    <mergeCell ref="A2:C2"/>
    <mergeCell ref="D2:I2"/>
    <mergeCell ref="A4:B4"/>
    <mergeCell ref="C4:D4"/>
    <mergeCell ref="E4:F4"/>
    <mergeCell ref="G4:I4"/>
    <mergeCell ref="A5:B5"/>
    <mergeCell ref="C5:D5"/>
    <mergeCell ref="E5:F5"/>
    <mergeCell ref="G5:I5"/>
    <mergeCell ref="A6:B6"/>
    <mergeCell ref="C6:D6"/>
    <mergeCell ref="E6:F6"/>
    <mergeCell ref="A19:D19"/>
    <mergeCell ref="A7:B7"/>
    <mergeCell ref="C7:I7"/>
    <mergeCell ref="A9:I9"/>
    <mergeCell ref="A13:B13"/>
    <mergeCell ref="A14:B14"/>
    <mergeCell ref="A15:B1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E5576-F02D-4FEE-83B5-DC3EA7779A2C}">
  <sheetPr>
    <tabColor theme="9" tint="-0.499984740745262"/>
    <pageSetUpPr fitToPage="1"/>
  </sheetPr>
  <dimension ref="B2:N41"/>
  <sheetViews>
    <sheetView showGridLines="0" zoomScale="80" zoomScaleNormal="80" workbookViewId="0">
      <selection activeCell="J27" sqref="J27"/>
    </sheetView>
  </sheetViews>
  <sheetFormatPr defaultColWidth="12.5703125" defaultRowHeight="15.75" customHeight="1" x14ac:dyDescent="0.2"/>
  <cols>
    <col min="1" max="1" width="3.42578125" customWidth="1"/>
    <col min="2" max="2" width="14.140625" customWidth="1"/>
    <col min="3" max="3" width="12.5703125" customWidth="1"/>
    <col min="4" max="4" width="17.28515625" bestFit="1" customWidth="1"/>
    <col min="5" max="9" width="12.5703125" customWidth="1"/>
    <col min="10" max="10" width="36.28515625" customWidth="1"/>
    <col min="11" max="13" width="8.85546875" customWidth="1"/>
    <col min="14" max="23" width="7.5703125" customWidth="1"/>
  </cols>
  <sheetData>
    <row r="2" spans="2:14" ht="55.5" customHeight="1" x14ac:dyDescent="0.25">
      <c r="B2" s="603"/>
      <c r="C2" s="576"/>
      <c r="D2" s="592"/>
      <c r="E2" s="604" t="s">
        <v>213</v>
      </c>
      <c r="F2" s="576"/>
      <c r="G2" s="576"/>
      <c r="H2" s="576"/>
      <c r="I2" s="576"/>
      <c r="J2" s="592"/>
      <c r="K2" s="3"/>
      <c r="L2" s="3"/>
      <c r="M2" s="3"/>
    </row>
    <row r="3" spans="2:14" ht="22.5" customHeight="1" x14ac:dyDescent="0.25">
      <c r="B3" s="286"/>
      <c r="C3" s="286"/>
      <c r="D3" s="287"/>
      <c r="E3" s="287"/>
      <c r="F3" s="287"/>
      <c r="G3" s="287"/>
      <c r="H3" s="287"/>
      <c r="I3" s="287"/>
      <c r="J3" s="284"/>
    </row>
    <row r="4" spans="2:14" ht="42" customHeight="1" x14ac:dyDescent="0.25">
      <c r="B4" s="573" t="s">
        <v>214</v>
      </c>
      <c r="C4" s="574"/>
      <c r="D4" s="575" t="str">
        <f>Índex!B14</f>
        <v>PE1.03_Ind01.</v>
      </c>
      <c r="E4" s="592"/>
      <c r="F4" s="573" t="s">
        <v>215</v>
      </c>
      <c r="G4" s="574"/>
      <c r="H4" s="575" t="str">
        <f>Índex!C14</f>
        <v>Ràtio de places en primera opció versus places ofertades, per curs acadèmic i titulació</v>
      </c>
      <c r="I4" s="576"/>
      <c r="J4" s="592"/>
    </row>
    <row r="5" spans="2:14" ht="22.5" customHeight="1" x14ac:dyDescent="0.25">
      <c r="B5" s="573" t="s">
        <v>216</v>
      </c>
      <c r="C5" s="574"/>
      <c r="D5" s="605" t="str">
        <f>Índex!F14</f>
        <v>≥ 0.8</v>
      </c>
      <c r="E5" s="607"/>
      <c r="F5" s="599" t="s">
        <v>217</v>
      </c>
      <c r="G5" s="574"/>
      <c r="H5" s="600" t="s">
        <v>241</v>
      </c>
      <c r="I5" s="601"/>
      <c r="J5" s="602"/>
    </row>
    <row r="6" spans="2:14" ht="22.5" customHeight="1" x14ac:dyDescent="0.25">
      <c r="B6" s="573" t="s">
        <v>219</v>
      </c>
      <c r="C6" s="574"/>
      <c r="D6" s="575" t="s">
        <v>220</v>
      </c>
      <c r="E6" s="592"/>
      <c r="F6" s="573" t="s">
        <v>242</v>
      </c>
      <c r="G6" s="590"/>
      <c r="H6" s="281" t="str">
        <f>Índex!E14</f>
        <v>Gestora de Qualitat</v>
      </c>
      <c r="I6" s="289"/>
      <c r="J6" s="290"/>
    </row>
    <row r="7" spans="2:14" ht="22.5" customHeight="1" x14ac:dyDescent="0.25">
      <c r="B7" s="573" t="s">
        <v>222</v>
      </c>
      <c r="C7" s="574"/>
      <c r="D7" s="575" t="str">
        <f>Índex!G14</f>
        <v>PE1.03. Creació,  Disseny i Extinció de Titulacions. Mapa de Titulacions</v>
      </c>
      <c r="E7" s="576"/>
      <c r="F7" s="576"/>
      <c r="G7" s="576"/>
      <c r="H7" s="577"/>
      <c r="I7" s="577"/>
      <c r="J7" s="578"/>
      <c r="K7" s="4"/>
    </row>
    <row r="8" spans="2:14" ht="7.5" customHeight="1" x14ac:dyDescent="0.25">
      <c r="B8" s="284"/>
      <c r="C8" s="284"/>
      <c r="D8" s="284"/>
      <c r="E8" s="284"/>
      <c r="F8" s="284"/>
      <c r="G8" s="284"/>
      <c r="H8" s="284"/>
      <c r="I8" s="284"/>
      <c r="J8" s="284"/>
    </row>
    <row r="9" spans="2:14" ht="22.5" customHeight="1" x14ac:dyDescent="0.25">
      <c r="B9" s="573" t="s">
        <v>223</v>
      </c>
      <c r="C9" s="590"/>
      <c r="D9" s="590"/>
      <c r="E9" s="590"/>
      <c r="F9" s="590"/>
      <c r="G9" s="590"/>
      <c r="H9" s="590"/>
      <c r="I9" s="590"/>
      <c r="J9" s="574"/>
      <c r="K9" s="5"/>
    </row>
    <row r="10" spans="2:14" ht="13.5" x14ac:dyDescent="0.25">
      <c r="B10" s="307"/>
      <c r="C10" s="298"/>
      <c r="D10" s="298"/>
      <c r="E10" s="298"/>
      <c r="F10" s="298"/>
      <c r="G10" s="298"/>
      <c r="H10" s="298"/>
      <c r="I10" s="298"/>
      <c r="J10" s="298"/>
    </row>
    <row r="11" spans="2:14" ht="22.5" customHeight="1" x14ac:dyDescent="0.25">
      <c r="B11" s="284"/>
      <c r="C11" s="284"/>
      <c r="D11" s="284"/>
      <c r="E11" s="284"/>
      <c r="F11" s="284"/>
      <c r="G11" s="284"/>
      <c r="H11" s="284"/>
      <c r="I11" s="284"/>
      <c r="J11" s="284"/>
    </row>
    <row r="12" spans="2:14" ht="22.5" customHeight="1" x14ac:dyDescent="0.25">
      <c r="B12" s="632" t="s">
        <v>243</v>
      </c>
      <c r="C12" s="633"/>
      <c r="D12" s="104" t="s">
        <v>224</v>
      </c>
      <c r="E12" s="104" t="s">
        <v>225</v>
      </c>
      <c r="F12" s="104" t="s">
        <v>226</v>
      </c>
      <c r="G12" s="104" t="s">
        <v>227</v>
      </c>
      <c r="H12" s="104" t="s">
        <v>228</v>
      </c>
      <c r="I12" s="104" t="s">
        <v>229</v>
      </c>
      <c r="J12" s="297"/>
      <c r="K12" s="594" t="s">
        <v>234</v>
      </c>
      <c r="L12" s="595"/>
      <c r="M12" s="595"/>
      <c r="N12" s="596"/>
    </row>
    <row r="13" spans="2:14" ht="22.5" customHeight="1" x14ac:dyDescent="0.2">
      <c r="B13" s="627" t="s">
        <v>244</v>
      </c>
      <c r="C13" s="627"/>
      <c r="D13" s="92">
        <v>0.7</v>
      </c>
      <c r="E13" s="92">
        <v>1.2</v>
      </c>
      <c r="F13" s="92">
        <v>1</v>
      </c>
      <c r="G13" s="92">
        <v>0.9</v>
      </c>
      <c r="H13" s="92">
        <v>0.8</v>
      </c>
      <c r="I13" s="92">
        <v>0.5</v>
      </c>
      <c r="J13" s="297"/>
      <c r="K13" s="9"/>
      <c r="L13" s="9"/>
      <c r="M13" s="9"/>
      <c r="N13" s="9"/>
    </row>
    <row r="14" spans="2:14" ht="43.5" customHeight="1" x14ac:dyDescent="0.2">
      <c r="B14" s="627" t="s">
        <v>245</v>
      </c>
      <c r="C14" s="627"/>
      <c r="D14" s="92">
        <v>1.2</v>
      </c>
      <c r="E14" s="92">
        <v>1.1000000000000001</v>
      </c>
      <c r="F14" s="92">
        <v>1</v>
      </c>
      <c r="G14" s="92">
        <v>1.2</v>
      </c>
      <c r="H14" s="92">
        <v>0.8</v>
      </c>
      <c r="I14" s="92">
        <v>1.3</v>
      </c>
      <c r="J14" s="297"/>
      <c r="K14" s="634" t="s">
        <v>172</v>
      </c>
      <c r="L14" s="635"/>
      <c r="M14" s="635"/>
      <c r="N14" s="636"/>
    </row>
    <row r="15" spans="2:14" ht="29.25" customHeight="1" x14ac:dyDescent="0.2">
      <c r="B15" s="627" t="s">
        <v>246</v>
      </c>
      <c r="C15" s="627"/>
      <c r="D15" s="92">
        <v>0.7</v>
      </c>
      <c r="E15" s="92">
        <v>0.7</v>
      </c>
      <c r="F15" s="92">
        <v>0.8</v>
      </c>
      <c r="G15" s="92">
        <v>1.6</v>
      </c>
      <c r="H15" s="92">
        <v>1.1000000000000001</v>
      </c>
      <c r="I15" s="92">
        <v>1.1000000000000001</v>
      </c>
      <c r="J15" s="297"/>
      <c r="K15" s="637"/>
      <c r="L15" s="638"/>
      <c r="M15" s="638"/>
      <c r="N15" s="639"/>
    </row>
    <row r="16" spans="2:14" ht="20.25" x14ac:dyDescent="0.2">
      <c r="B16" s="627" t="s">
        <v>247</v>
      </c>
      <c r="C16" s="627"/>
      <c r="D16" s="92">
        <v>1.8</v>
      </c>
      <c r="E16" s="92">
        <v>2.2000000000000002</v>
      </c>
      <c r="F16" s="92">
        <v>2.1</v>
      </c>
      <c r="G16" s="92">
        <v>2.4</v>
      </c>
      <c r="H16" s="92">
        <v>2.2000000000000002</v>
      </c>
      <c r="I16" s="92">
        <v>2.2999999999999998</v>
      </c>
      <c r="J16" s="297"/>
      <c r="K16" s="637"/>
      <c r="L16" s="638"/>
      <c r="M16" s="638"/>
      <c r="N16" s="639"/>
    </row>
    <row r="17" spans="2:14" ht="29.25" customHeight="1" x14ac:dyDescent="0.2">
      <c r="B17" s="627" t="s">
        <v>248</v>
      </c>
      <c r="C17" s="627"/>
      <c r="D17" s="92">
        <v>5.9</v>
      </c>
      <c r="E17" s="92">
        <v>4.7</v>
      </c>
      <c r="F17" s="92">
        <v>4</v>
      </c>
      <c r="G17" s="92">
        <v>5</v>
      </c>
      <c r="H17" s="92">
        <v>5.2</v>
      </c>
      <c r="I17" s="92">
        <v>3.6</v>
      </c>
      <c r="J17" s="297"/>
      <c r="K17" s="637"/>
      <c r="L17" s="638"/>
      <c r="M17" s="638"/>
      <c r="N17" s="639"/>
    </row>
    <row r="18" spans="2:14" ht="29.25" customHeight="1" x14ac:dyDescent="0.2">
      <c r="B18" s="627" t="s">
        <v>249</v>
      </c>
      <c r="C18" s="627"/>
      <c r="D18" s="92">
        <v>1.9</v>
      </c>
      <c r="E18" s="92">
        <v>1.8</v>
      </c>
      <c r="F18" s="92">
        <v>1.9</v>
      </c>
      <c r="G18" s="92">
        <v>1.9</v>
      </c>
      <c r="H18" s="92">
        <v>2</v>
      </c>
      <c r="I18" s="92">
        <v>1.5</v>
      </c>
      <c r="J18" s="297"/>
      <c r="K18" s="637"/>
      <c r="L18" s="638"/>
      <c r="M18" s="638"/>
      <c r="N18" s="639"/>
    </row>
    <row r="19" spans="2:14" ht="22.5" customHeight="1" x14ac:dyDescent="0.2">
      <c r="B19" s="627" t="s">
        <v>250</v>
      </c>
      <c r="C19" s="627"/>
      <c r="D19" s="92">
        <v>0.4</v>
      </c>
      <c r="E19" s="92">
        <v>0.4</v>
      </c>
      <c r="F19" s="92">
        <v>0.4</v>
      </c>
      <c r="G19" s="137">
        <v>0.5</v>
      </c>
      <c r="H19" s="137">
        <v>0.5</v>
      </c>
      <c r="I19" s="137">
        <v>0.4</v>
      </c>
      <c r="J19" s="297"/>
      <c r="K19" s="637"/>
      <c r="L19" s="638"/>
      <c r="M19" s="638"/>
      <c r="N19" s="639"/>
    </row>
    <row r="20" spans="2:14" ht="57.75" customHeight="1" x14ac:dyDescent="0.2">
      <c r="B20" s="627" t="s">
        <v>251</v>
      </c>
      <c r="C20" s="627"/>
      <c r="D20" s="92" t="s">
        <v>238</v>
      </c>
      <c r="E20" s="92">
        <v>1</v>
      </c>
      <c r="F20" s="92">
        <v>1.3</v>
      </c>
      <c r="G20" s="92">
        <v>1.4</v>
      </c>
      <c r="H20" s="92">
        <v>1.3</v>
      </c>
      <c r="I20" s="92">
        <v>0.9</v>
      </c>
      <c r="J20" s="297"/>
      <c r="K20" s="637"/>
      <c r="L20" s="638"/>
      <c r="M20" s="638"/>
      <c r="N20" s="639"/>
    </row>
    <row r="21" spans="2:14" ht="22.5" customHeight="1" x14ac:dyDescent="0.2">
      <c r="B21" s="627" t="s">
        <v>252</v>
      </c>
      <c r="C21" s="627"/>
      <c r="D21" s="92">
        <v>1</v>
      </c>
      <c r="E21" s="92">
        <v>1.2</v>
      </c>
      <c r="F21" s="92">
        <v>1.2</v>
      </c>
      <c r="G21" s="92">
        <v>2</v>
      </c>
      <c r="H21" s="92">
        <v>1.7</v>
      </c>
      <c r="I21" s="92">
        <v>1.4</v>
      </c>
      <c r="J21" s="297"/>
      <c r="K21" s="637"/>
      <c r="L21" s="638"/>
      <c r="M21" s="638"/>
      <c r="N21" s="639"/>
    </row>
    <row r="22" spans="2:14" ht="43.5" customHeight="1" x14ac:dyDescent="0.2">
      <c r="B22" s="627" t="s">
        <v>253</v>
      </c>
      <c r="C22" s="627"/>
      <c r="D22" s="92">
        <v>1.3</v>
      </c>
      <c r="E22" s="92">
        <v>1</v>
      </c>
      <c r="F22" s="92">
        <v>1.1000000000000001</v>
      </c>
      <c r="G22" s="92">
        <v>1.1000000000000001</v>
      </c>
      <c r="H22" s="92">
        <v>1.2</v>
      </c>
      <c r="I22" s="92">
        <v>1.2</v>
      </c>
      <c r="J22" s="297"/>
      <c r="K22" s="640"/>
      <c r="L22" s="641"/>
      <c r="M22" s="641"/>
      <c r="N22" s="642"/>
    </row>
    <row r="23" spans="2:14" ht="22.5" customHeight="1" x14ac:dyDescent="0.25">
      <c r="B23" s="627" t="s">
        <v>254</v>
      </c>
      <c r="C23" s="627"/>
      <c r="D23" s="92">
        <v>1</v>
      </c>
      <c r="E23" s="92">
        <v>1</v>
      </c>
      <c r="F23" s="92">
        <v>1.1000000000000001</v>
      </c>
      <c r="G23" s="92">
        <v>0.9</v>
      </c>
      <c r="H23" s="92">
        <v>1.1000000000000001</v>
      </c>
      <c r="I23" s="92">
        <v>1</v>
      </c>
      <c r="J23" s="284"/>
    </row>
    <row r="24" spans="2:14" ht="22.5" customHeight="1" x14ac:dyDescent="0.25">
      <c r="B24" s="628" t="s">
        <v>255</v>
      </c>
      <c r="C24" s="629"/>
      <c r="D24" s="179">
        <v>0.8</v>
      </c>
      <c r="E24" s="179">
        <v>0.8</v>
      </c>
      <c r="F24" s="179">
        <v>0.8</v>
      </c>
      <c r="G24" s="179">
        <v>0.8</v>
      </c>
      <c r="H24" s="179">
        <v>0.8</v>
      </c>
      <c r="I24" s="179">
        <v>0.8</v>
      </c>
      <c r="J24" s="284"/>
    </row>
    <row r="25" spans="2:14" ht="22.5" customHeight="1" x14ac:dyDescent="0.25">
      <c r="B25" s="645" t="s">
        <v>256</v>
      </c>
      <c r="C25" s="646"/>
      <c r="D25" s="315">
        <f>COUNTIF(D13:D23,"&gt;=0,8")</f>
        <v>7</v>
      </c>
      <c r="E25" s="315">
        <f t="shared" ref="E25:G25" si="0">COUNTIF(E13:E23,"&gt;=0,8")</f>
        <v>9</v>
      </c>
      <c r="F25" s="315">
        <f t="shared" si="0"/>
        <v>10</v>
      </c>
      <c r="G25" s="315">
        <f t="shared" si="0"/>
        <v>10</v>
      </c>
      <c r="H25" s="315">
        <f>COUNTIF(H13:H23,"&gt;=0,8")</f>
        <v>10</v>
      </c>
      <c r="I25" s="315">
        <f>COUNTIF(I13:I23,"&gt;=0,8")</f>
        <v>9</v>
      </c>
      <c r="J25" s="284"/>
    </row>
    <row r="26" spans="2:14" ht="22.5" customHeight="1" x14ac:dyDescent="0.25">
      <c r="B26" s="643" t="s">
        <v>257</v>
      </c>
      <c r="C26" s="644"/>
      <c r="D26" s="315">
        <f>COUNT(D13:D23)</f>
        <v>10</v>
      </c>
      <c r="E26" s="315">
        <f t="shared" ref="E26:G26" si="1">COUNT(E13:E23)</f>
        <v>11</v>
      </c>
      <c r="F26" s="315">
        <f t="shared" si="1"/>
        <v>11</v>
      </c>
      <c r="G26" s="315">
        <f t="shared" si="1"/>
        <v>11</v>
      </c>
      <c r="H26" s="315">
        <f>COUNT(H13:H23)</f>
        <v>11</v>
      </c>
      <c r="I26" s="315">
        <f>COUNT(I13:I23)</f>
        <v>11</v>
      </c>
      <c r="J26" s="284"/>
    </row>
    <row r="27" spans="2:14" ht="22.5" customHeight="1" x14ac:dyDescent="0.25">
      <c r="B27" s="630" t="s">
        <v>232</v>
      </c>
      <c r="C27" s="631"/>
      <c r="D27" s="106">
        <f>(D25/D26)</f>
        <v>0.7</v>
      </c>
      <c r="E27" s="59">
        <f t="shared" ref="E27:G27" si="2">(E25/E26)</f>
        <v>0.81818181818181823</v>
      </c>
      <c r="F27" s="59">
        <f t="shared" si="2"/>
        <v>0.90909090909090906</v>
      </c>
      <c r="G27" s="59">
        <f t="shared" si="2"/>
        <v>0.90909090909090906</v>
      </c>
      <c r="H27" s="59">
        <f>(H25/H26)</f>
        <v>0.90909090909090906</v>
      </c>
      <c r="I27" s="59">
        <f>(I25/I26)</f>
        <v>0.81818181818181823</v>
      </c>
      <c r="J27" s="284"/>
    </row>
    <row r="28" spans="2:14" ht="22.5" customHeight="1" x14ac:dyDescent="0.3">
      <c r="B28" s="296"/>
      <c r="C28" s="296"/>
      <c r="D28" s="291"/>
      <c r="E28" s="291"/>
      <c r="F28" s="291"/>
      <c r="G28" s="291"/>
      <c r="H28" s="291"/>
      <c r="I28" s="291"/>
      <c r="J28" s="291"/>
    </row>
    <row r="29" spans="2:14" ht="22.5" customHeight="1" x14ac:dyDescent="0.2">
      <c r="B29" s="647" t="s">
        <v>233</v>
      </c>
      <c r="C29" s="648"/>
      <c r="D29" s="648"/>
      <c r="E29" s="648"/>
      <c r="F29" s="648"/>
      <c r="G29" s="648"/>
      <c r="H29" s="648"/>
      <c r="I29" s="648"/>
      <c r="J29" s="648"/>
    </row>
    <row r="41" spans="8:10" ht="19.5" customHeight="1" x14ac:dyDescent="0.2">
      <c r="H41" s="588" t="s">
        <v>172</v>
      </c>
      <c r="I41" s="589"/>
      <c r="J41" s="589"/>
    </row>
  </sheetData>
  <sheetProtection sheet="1" formatCells="0" formatColumns="0" formatRows="0" insertColumns="0" insertRows="0" insertHyperlinks="0" deleteColumns="0" deleteRows="0" pivotTables="0"/>
  <mergeCells count="36">
    <mergeCell ref="H41:J41"/>
    <mergeCell ref="B14:C14"/>
    <mergeCell ref="B15:C15"/>
    <mergeCell ref="B16:C16"/>
    <mergeCell ref="B17:C17"/>
    <mergeCell ref="B18:C18"/>
    <mergeCell ref="B19:C19"/>
    <mergeCell ref="B26:C26"/>
    <mergeCell ref="B25:C25"/>
    <mergeCell ref="B29:J29"/>
    <mergeCell ref="B9:J9"/>
    <mergeCell ref="B13:C13"/>
    <mergeCell ref="B24:C24"/>
    <mergeCell ref="B27:C27"/>
    <mergeCell ref="K12:N12"/>
    <mergeCell ref="B20:C20"/>
    <mergeCell ref="B21:C21"/>
    <mergeCell ref="B22:C22"/>
    <mergeCell ref="B23:C23"/>
    <mergeCell ref="B12:C12"/>
    <mergeCell ref="K14:N22"/>
    <mergeCell ref="B7:C7"/>
    <mergeCell ref="D7:J7"/>
    <mergeCell ref="B5:C5"/>
    <mergeCell ref="D5:E5"/>
    <mergeCell ref="F5:G5"/>
    <mergeCell ref="H5:J5"/>
    <mergeCell ref="B6:C6"/>
    <mergeCell ref="D6:E6"/>
    <mergeCell ref="F6:G6"/>
    <mergeCell ref="B2:D2"/>
    <mergeCell ref="E2:J2"/>
    <mergeCell ref="B4:C4"/>
    <mergeCell ref="D4:E4"/>
    <mergeCell ref="F4:G4"/>
    <mergeCell ref="H4:J4"/>
  </mergeCells>
  <phoneticPr fontId="25" type="noConversion"/>
  <conditionalFormatting sqref="D13:I23">
    <cfRule type="cellIs" dxfId="57" priority="1" operator="between">
      <formula>0</formula>
      <formula>0.71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7A084-461C-41E0-8A55-ACE9EAF592A2}">
  <sheetPr>
    <tabColor theme="9" tint="-0.499984740745262"/>
    <pageSetUpPr fitToPage="1"/>
  </sheetPr>
  <dimension ref="B2:T40"/>
  <sheetViews>
    <sheetView showGridLines="0" topLeftCell="G16" zoomScaleNormal="100" workbookViewId="0">
      <selection activeCell="H22" sqref="H22"/>
    </sheetView>
  </sheetViews>
  <sheetFormatPr defaultColWidth="12.5703125" defaultRowHeight="15.75" customHeight="1" x14ac:dyDescent="0.2"/>
  <cols>
    <col min="1" max="1" width="3.42578125" customWidth="1"/>
    <col min="2" max="2" width="14.140625" customWidth="1"/>
    <col min="3" max="3" width="12.5703125" customWidth="1"/>
    <col min="4" max="4" width="17.28515625" bestFit="1" customWidth="1"/>
    <col min="5" max="7" width="12.5703125" customWidth="1"/>
    <col min="8" max="8" width="11.7109375" customWidth="1"/>
    <col min="9" max="12" width="7.5703125" customWidth="1"/>
  </cols>
  <sheetData>
    <row r="2" spans="2:14" ht="55.5" customHeight="1" x14ac:dyDescent="0.25">
      <c r="B2" s="603"/>
      <c r="C2" s="576"/>
      <c r="D2" s="592"/>
      <c r="E2" s="316" t="s">
        <v>213</v>
      </c>
      <c r="F2" s="285"/>
      <c r="G2" s="285"/>
    </row>
    <row r="3" spans="2:14" ht="22.5" customHeight="1" x14ac:dyDescent="0.2">
      <c r="B3" s="286"/>
      <c r="C3" s="286"/>
      <c r="D3" s="287"/>
      <c r="E3" s="287"/>
      <c r="F3" s="287"/>
      <c r="G3" s="287"/>
    </row>
    <row r="4" spans="2:14" ht="42" customHeight="1" x14ac:dyDescent="0.25">
      <c r="B4" s="573" t="s">
        <v>214</v>
      </c>
      <c r="C4" s="574"/>
      <c r="D4" s="575" t="str">
        <f>Índex!B15</f>
        <v>PE1.03_Ind02</v>
      </c>
      <c r="E4" s="592"/>
      <c r="F4" s="573" t="s">
        <v>215</v>
      </c>
      <c r="G4" s="590"/>
      <c r="H4" s="655" t="str">
        <f>Índex!C15</f>
        <v xml:space="preserve">Taxa de graduació, a temps complert, per curs acadèmic i titulació (per cohort, N+1, Graus). </v>
      </c>
      <c r="I4" s="655"/>
      <c r="J4" s="655"/>
      <c r="K4" s="655"/>
      <c r="L4" s="655"/>
      <c r="M4" s="655"/>
      <c r="N4" s="655"/>
    </row>
    <row r="5" spans="2:14" ht="22.5" customHeight="1" x14ac:dyDescent="0.25">
      <c r="B5" s="573" t="s">
        <v>216</v>
      </c>
      <c r="C5" s="574"/>
      <c r="D5" s="605" t="str">
        <f>Índex!F15</f>
        <v>≥ 50%</v>
      </c>
      <c r="E5" s="607"/>
      <c r="F5" s="651" t="s">
        <v>217</v>
      </c>
      <c r="G5" s="652"/>
      <c r="H5" s="656" t="s">
        <v>241</v>
      </c>
      <c r="I5" s="657"/>
      <c r="J5" s="657"/>
      <c r="K5" s="657"/>
      <c r="L5" s="657"/>
      <c r="M5" s="657"/>
      <c r="N5" s="658"/>
    </row>
    <row r="6" spans="2:14" ht="24.75" customHeight="1" x14ac:dyDescent="0.25">
      <c r="B6" s="573" t="s">
        <v>219</v>
      </c>
      <c r="C6" s="574"/>
      <c r="D6" s="624" t="s">
        <v>220</v>
      </c>
      <c r="E6" s="613"/>
      <c r="F6" s="649" t="s">
        <v>242</v>
      </c>
      <c r="G6" s="650"/>
      <c r="H6" s="659" t="str">
        <f>Índex!E15</f>
        <v>Gestora de Qualitat</v>
      </c>
      <c r="I6" s="660"/>
      <c r="J6" s="660"/>
      <c r="K6" s="660"/>
      <c r="L6" s="660"/>
      <c r="M6" s="660"/>
      <c r="N6" s="661"/>
    </row>
    <row r="7" spans="2:14" ht="22.5" customHeight="1" x14ac:dyDescent="0.25">
      <c r="B7" s="573" t="s">
        <v>222</v>
      </c>
      <c r="C7" s="590"/>
      <c r="D7" s="662" t="str">
        <f>Índex!G15</f>
        <v>PE1.03. Creació,  Disseny i Extinció de Titulacions. Mapa de Titulacions</v>
      </c>
      <c r="E7" s="662"/>
      <c r="F7" s="662"/>
      <c r="G7" s="662"/>
      <c r="H7" s="662"/>
      <c r="I7" s="662"/>
      <c r="J7" s="662"/>
      <c r="K7" s="662"/>
      <c r="L7" s="662"/>
      <c r="M7" s="662"/>
      <c r="N7" s="662"/>
    </row>
    <row r="8" spans="2:14" ht="7.5" customHeight="1" x14ac:dyDescent="0.25">
      <c r="B8" s="284"/>
      <c r="C8" s="284"/>
      <c r="D8" s="284"/>
      <c r="E8" s="284"/>
      <c r="F8" s="284"/>
      <c r="G8" s="284"/>
    </row>
    <row r="9" spans="2:14" ht="22.5" customHeight="1" x14ac:dyDescent="0.25">
      <c r="B9" s="664" t="s">
        <v>223</v>
      </c>
      <c r="C9" s="665"/>
      <c r="D9" s="665"/>
      <c r="E9" s="665"/>
      <c r="F9" s="665"/>
      <c r="G9" s="665"/>
    </row>
    <row r="10" spans="2:14" ht="22.5" customHeight="1" x14ac:dyDescent="0.25">
      <c r="B10" s="307"/>
      <c r="C10" s="298"/>
      <c r="D10" s="298"/>
      <c r="E10" s="298"/>
      <c r="F10" s="298"/>
      <c r="G10" s="298"/>
    </row>
    <row r="11" spans="2:14" ht="22.5" customHeight="1" x14ac:dyDescent="0.25">
      <c r="B11" s="284"/>
      <c r="C11" s="284"/>
      <c r="D11" s="284"/>
      <c r="E11" s="284"/>
      <c r="F11" s="284"/>
      <c r="G11" s="284"/>
    </row>
    <row r="12" spans="2:14" ht="22.5" customHeight="1" x14ac:dyDescent="0.25">
      <c r="B12" s="298"/>
      <c r="C12" s="298"/>
      <c r="D12" s="167" t="s">
        <v>258</v>
      </c>
      <c r="E12" s="167" t="s">
        <v>259</v>
      </c>
      <c r="F12" s="378" t="s">
        <v>224</v>
      </c>
      <c r="G12" s="378" t="s">
        <v>225</v>
      </c>
      <c r="H12" s="378" t="s">
        <v>226</v>
      </c>
      <c r="I12" s="24"/>
    </row>
    <row r="13" spans="2:14" ht="22.5" customHeight="1" x14ac:dyDescent="0.2">
      <c r="B13" s="627" t="s">
        <v>244</v>
      </c>
      <c r="C13" s="653"/>
      <c r="D13" s="41">
        <v>0.57530000000000003</v>
      </c>
      <c r="E13" s="41">
        <v>0.66200000000000003</v>
      </c>
      <c r="F13" s="41">
        <v>0.68569999999999998</v>
      </c>
      <c r="G13" s="57">
        <v>0.9</v>
      </c>
      <c r="H13" s="420" t="s">
        <v>260</v>
      </c>
      <c r="I13" s="18"/>
    </row>
    <row r="14" spans="2:14" ht="22.5" customHeight="1" x14ac:dyDescent="0.3">
      <c r="B14" s="653" t="s">
        <v>261</v>
      </c>
      <c r="C14" s="663"/>
      <c r="D14" s="31" t="s">
        <v>237</v>
      </c>
      <c r="E14" s="542">
        <v>0.68179999999999996</v>
      </c>
      <c r="F14" s="31" t="s">
        <v>237</v>
      </c>
      <c r="G14" s="31" t="s">
        <v>237</v>
      </c>
      <c r="H14" s="420" t="s">
        <v>260</v>
      </c>
      <c r="I14" s="18"/>
    </row>
    <row r="15" spans="2:14" ht="43.5" customHeight="1" x14ac:dyDescent="0.2">
      <c r="B15" s="627" t="s">
        <v>246</v>
      </c>
      <c r="C15" s="653"/>
      <c r="D15" s="41">
        <v>0.42499999999999999</v>
      </c>
      <c r="E15" s="41">
        <v>0.15379999999999999</v>
      </c>
      <c r="F15" s="31" t="s">
        <v>237</v>
      </c>
      <c r="G15" s="57">
        <v>0</v>
      </c>
      <c r="H15" s="420" t="s">
        <v>260</v>
      </c>
      <c r="I15" s="18"/>
    </row>
    <row r="16" spans="2:14" ht="29.25" customHeight="1" x14ac:dyDescent="0.2">
      <c r="B16" s="627" t="s">
        <v>247</v>
      </c>
      <c r="C16" s="653"/>
      <c r="D16" s="57">
        <v>0.73</v>
      </c>
      <c r="E16" s="41">
        <v>0.59419999999999995</v>
      </c>
      <c r="F16" s="41">
        <v>0.57140000000000002</v>
      </c>
      <c r="G16" s="57">
        <v>0.88</v>
      </c>
      <c r="H16" s="420" t="s">
        <v>260</v>
      </c>
      <c r="I16" s="18"/>
      <c r="M16" t="s">
        <v>172</v>
      </c>
    </row>
    <row r="17" spans="2:20" ht="29.25" customHeight="1" x14ac:dyDescent="0.2">
      <c r="B17" s="627" t="s">
        <v>262</v>
      </c>
      <c r="C17" s="627"/>
      <c r="D17" s="57">
        <v>0.71430000000000005</v>
      </c>
      <c r="E17" s="41">
        <v>0.83330000000000004</v>
      </c>
      <c r="F17" s="41">
        <v>0.95650000000000002</v>
      </c>
      <c r="G17" s="31" t="s">
        <v>237</v>
      </c>
      <c r="H17" s="420" t="s">
        <v>260</v>
      </c>
      <c r="I17" s="18"/>
    </row>
    <row r="18" spans="2:20" ht="29.25" customHeight="1" x14ac:dyDescent="0.2">
      <c r="B18" s="668" t="s">
        <v>263</v>
      </c>
      <c r="C18" s="669"/>
      <c r="D18" s="41">
        <v>0.63639999999999997</v>
      </c>
      <c r="E18" s="31" t="s">
        <v>237</v>
      </c>
      <c r="F18" s="31" t="s">
        <v>237</v>
      </c>
      <c r="G18" s="31" t="s">
        <v>237</v>
      </c>
      <c r="H18" s="420" t="s">
        <v>260</v>
      </c>
      <c r="I18" s="23"/>
    </row>
    <row r="19" spans="2:20" ht="14.25" x14ac:dyDescent="0.2">
      <c r="B19" s="627" t="s">
        <v>250</v>
      </c>
      <c r="C19" s="653"/>
      <c r="D19" s="41">
        <v>0.1525</v>
      </c>
      <c r="E19" s="41">
        <v>0.26319999999999999</v>
      </c>
      <c r="F19" s="41">
        <v>0.4103</v>
      </c>
      <c r="G19" s="57">
        <v>0.34</v>
      </c>
      <c r="H19" s="420" t="s">
        <v>260</v>
      </c>
      <c r="I19" s="18"/>
    </row>
    <row r="20" spans="2:20" ht="29.25" customHeight="1" x14ac:dyDescent="0.2">
      <c r="B20" s="627" t="s">
        <v>252</v>
      </c>
      <c r="C20" s="653"/>
      <c r="D20" s="41">
        <v>0.39240000000000003</v>
      </c>
      <c r="E20" s="41">
        <v>0.4425</v>
      </c>
      <c r="F20" s="41">
        <v>0.38100000000000001</v>
      </c>
      <c r="G20" s="57">
        <v>0.73</v>
      </c>
      <c r="H20" s="420" t="s">
        <v>260</v>
      </c>
      <c r="I20" s="18"/>
    </row>
    <row r="21" spans="2:20" ht="29.25" customHeight="1" x14ac:dyDescent="0.2">
      <c r="B21" s="653" t="s">
        <v>251</v>
      </c>
      <c r="C21" s="663"/>
      <c r="D21" s="31" t="s">
        <v>237</v>
      </c>
      <c r="E21" s="31" t="s">
        <v>237</v>
      </c>
      <c r="F21" s="31" t="s">
        <v>237</v>
      </c>
      <c r="G21" s="57">
        <v>0.61</v>
      </c>
      <c r="H21" s="420" t="s">
        <v>260</v>
      </c>
      <c r="I21" s="23"/>
    </row>
    <row r="22" spans="2:20" ht="29.25" customHeight="1" x14ac:dyDescent="0.2">
      <c r="B22" s="627" t="s">
        <v>253</v>
      </c>
      <c r="C22" s="653"/>
      <c r="D22" s="41">
        <v>0.81689999999999996</v>
      </c>
      <c r="E22" s="41">
        <v>0.73360000000000003</v>
      </c>
      <c r="F22" s="41">
        <v>0.77939999999999998</v>
      </c>
      <c r="G22" s="57">
        <v>0.55000000000000004</v>
      </c>
      <c r="H22" s="420" t="s">
        <v>260</v>
      </c>
      <c r="I22" s="18"/>
    </row>
    <row r="23" spans="2:20" ht="22.5" customHeight="1" x14ac:dyDescent="0.2">
      <c r="B23" s="627" t="s">
        <v>254</v>
      </c>
      <c r="C23" s="653"/>
      <c r="D23" s="41">
        <v>0.47539999999999999</v>
      </c>
      <c r="E23" s="41">
        <v>0.45450000000000002</v>
      </c>
      <c r="F23" s="41">
        <v>0.39860000000000001</v>
      </c>
      <c r="G23" s="57">
        <v>0.53</v>
      </c>
      <c r="H23" s="420" t="s">
        <v>260</v>
      </c>
      <c r="I23" s="18"/>
    </row>
    <row r="24" spans="2:20" ht="22.5" customHeight="1" x14ac:dyDescent="0.25">
      <c r="B24" s="653" t="s">
        <v>264</v>
      </c>
      <c r="C24" s="654"/>
      <c r="D24" s="53">
        <f>COUNTIF(D13:D23,"&gt;50%")</f>
        <v>5</v>
      </c>
      <c r="E24" s="53">
        <f>COUNTIF(E13:E23,"&gt;50%")</f>
        <v>5</v>
      </c>
      <c r="F24" s="53">
        <f>COUNTIF(F13:F23,"&gt;50%")</f>
        <v>4</v>
      </c>
      <c r="G24" s="53">
        <f>COUNTIF(G13:G23,"&gt;50%")</f>
        <v>6</v>
      </c>
      <c r="H24" s="420" t="s">
        <v>260</v>
      </c>
    </row>
    <row r="25" spans="2:20" ht="22.5" customHeight="1" x14ac:dyDescent="0.25">
      <c r="B25" s="653" t="s">
        <v>265</v>
      </c>
      <c r="C25" s="654"/>
      <c r="D25" s="53">
        <f>COUNT(D13:D23)</f>
        <v>9</v>
      </c>
      <c r="E25" s="53">
        <f>COUNT(E13:E23)</f>
        <v>9</v>
      </c>
      <c r="F25" s="53">
        <f>COUNT(F13:F23)</f>
        <v>7</v>
      </c>
      <c r="G25" s="53">
        <f>COUNT(G13:G23)</f>
        <v>8</v>
      </c>
      <c r="H25" s="420" t="s">
        <v>260</v>
      </c>
    </row>
    <row r="26" spans="2:20" ht="22.5" customHeight="1" x14ac:dyDescent="0.25">
      <c r="B26" s="666" t="s">
        <v>231</v>
      </c>
      <c r="C26" s="667"/>
      <c r="D26" s="509">
        <v>0.5</v>
      </c>
      <c r="E26" s="509">
        <v>0.5</v>
      </c>
      <c r="F26" s="509">
        <v>0.5</v>
      </c>
      <c r="G26" s="509">
        <v>0.5</v>
      </c>
      <c r="H26" s="509" t="s">
        <v>260</v>
      </c>
      <c r="I26" s="419"/>
    </row>
    <row r="27" spans="2:20" ht="22.5" customHeight="1" x14ac:dyDescent="0.25">
      <c r="B27" s="666" t="s">
        <v>232</v>
      </c>
      <c r="C27" s="667"/>
      <c r="D27" s="379">
        <v>0.55559999999999998</v>
      </c>
      <c r="E27" s="379">
        <v>0.55559999999999998</v>
      </c>
      <c r="F27" s="379">
        <v>0.57140000000000002</v>
      </c>
      <c r="G27" s="510">
        <v>0.75</v>
      </c>
      <c r="H27" s="510" t="s">
        <v>260</v>
      </c>
      <c r="I27" s="418"/>
    </row>
    <row r="28" spans="2:20" ht="22.5" customHeight="1" x14ac:dyDescent="0.3">
      <c r="B28" s="296"/>
      <c r="C28" s="296"/>
      <c r="D28" s="291"/>
      <c r="E28" s="291"/>
      <c r="F28" s="291"/>
      <c r="G28" s="291"/>
    </row>
    <row r="29" spans="2:20" ht="22.5" customHeight="1" x14ac:dyDescent="0.2">
      <c r="B29" s="594" t="s">
        <v>233</v>
      </c>
      <c r="C29" s="595"/>
      <c r="D29" s="595"/>
      <c r="E29" s="596"/>
      <c r="F29" s="8"/>
    </row>
    <row r="30" spans="2:20" ht="22.5" customHeight="1" x14ac:dyDescent="0.2">
      <c r="B30" s="8"/>
      <c r="C30" s="8"/>
      <c r="D30" s="8"/>
      <c r="E30" s="8"/>
      <c r="F30" s="8"/>
      <c r="Q30" s="594" t="s">
        <v>234</v>
      </c>
      <c r="R30" s="595"/>
      <c r="S30" s="595"/>
      <c r="T30" s="596"/>
    </row>
    <row r="31" spans="2:20" ht="6" customHeight="1" x14ac:dyDescent="0.2">
      <c r="B31" s="8"/>
      <c r="C31" s="8"/>
      <c r="D31" s="8"/>
      <c r="E31" s="8"/>
      <c r="F31" s="8"/>
      <c r="Q31" s="9"/>
      <c r="R31" s="9"/>
      <c r="S31" s="9"/>
      <c r="T31" s="9"/>
    </row>
    <row r="32" spans="2:20" ht="19.5" customHeight="1" x14ac:dyDescent="0.2">
      <c r="B32" s="8"/>
      <c r="C32" s="8"/>
      <c r="D32" s="8"/>
      <c r="E32" s="8"/>
      <c r="F32" s="8"/>
      <c r="Q32" s="634" t="s">
        <v>266</v>
      </c>
      <c r="R32" s="580"/>
      <c r="S32" s="580"/>
      <c r="T32" s="581"/>
    </row>
    <row r="33" spans="17:20" ht="19.5" customHeight="1" x14ac:dyDescent="0.2">
      <c r="Q33" s="582"/>
      <c r="R33" s="583"/>
      <c r="S33" s="583"/>
      <c r="T33" s="584"/>
    </row>
    <row r="34" spans="17:20" ht="19.5" customHeight="1" x14ac:dyDescent="0.2">
      <c r="Q34" s="582"/>
      <c r="R34" s="583"/>
      <c r="S34" s="583"/>
      <c r="T34" s="584"/>
    </row>
    <row r="35" spans="17:20" ht="19.5" customHeight="1" x14ac:dyDescent="0.2">
      <c r="Q35" s="582"/>
      <c r="R35" s="583"/>
      <c r="S35" s="583"/>
      <c r="T35" s="584"/>
    </row>
    <row r="36" spans="17:20" ht="19.5" customHeight="1" x14ac:dyDescent="0.2">
      <c r="Q36" s="582"/>
      <c r="R36" s="583"/>
      <c r="S36" s="583"/>
      <c r="T36" s="584"/>
    </row>
    <row r="37" spans="17:20" ht="19.5" customHeight="1" x14ac:dyDescent="0.2">
      <c r="Q37" s="582"/>
      <c r="R37" s="583"/>
      <c r="S37" s="583"/>
      <c r="T37" s="584"/>
    </row>
    <row r="38" spans="17:20" ht="19.5" customHeight="1" x14ac:dyDescent="0.2">
      <c r="Q38" s="582"/>
      <c r="R38" s="583"/>
      <c r="S38" s="583"/>
      <c r="T38" s="584"/>
    </row>
    <row r="39" spans="17:20" ht="19.5" customHeight="1" x14ac:dyDescent="0.2">
      <c r="Q39" s="582"/>
      <c r="R39" s="583"/>
      <c r="S39" s="583"/>
      <c r="T39" s="584"/>
    </row>
    <row r="40" spans="17:20" ht="19.5" customHeight="1" x14ac:dyDescent="0.2">
      <c r="Q40" s="585"/>
      <c r="R40" s="586"/>
      <c r="S40" s="586"/>
      <c r="T40" s="587"/>
    </row>
  </sheetData>
  <sheetProtection sheet="1" formatCells="0" formatColumns="0" formatRows="0" insertColumns="0" insertRows="0" insertHyperlinks="0" deleteColumns="0" deleteRows="0" pivotTables="0"/>
  <mergeCells count="34">
    <mergeCell ref="Q30:T30"/>
    <mergeCell ref="Q32:T40"/>
    <mergeCell ref="B22:C22"/>
    <mergeCell ref="B23:C23"/>
    <mergeCell ref="B9:G9"/>
    <mergeCell ref="B13:C13"/>
    <mergeCell ref="B15:C15"/>
    <mergeCell ref="B16:C16"/>
    <mergeCell ref="B19:C19"/>
    <mergeCell ref="B20:C20"/>
    <mergeCell ref="B26:C26"/>
    <mergeCell ref="B27:C27"/>
    <mergeCell ref="B29:E29"/>
    <mergeCell ref="B25:C25"/>
    <mergeCell ref="B18:C18"/>
    <mergeCell ref="B14:C14"/>
    <mergeCell ref="B24:C24"/>
    <mergeCell ref="B17:C17"/>
    <mergeCell ref="H4:N4"/>
    <mergeCell ref="H5:N5"/>
    <mergeCell ref="H6:N6"/>
    <mergeCell ref="B5:C5"/>
    <mergeCell ref="B6:C6"/>
    <mergeCell ref="D7:N7"/>
    <mergeCell ref="B21:C21"/>
    <mergeCell ref="B7:C7"/>
    <mergeCell ref="B2:D2"/>
    <mergeCell ref="B4:C4"/>
    <mergeCell ref="D4:E4"/>
    <mergeCell ref="F4:G4"/>
    <mergeCell ref="F6:G6"/>
    <mergeCell ref="D5:E5"/>
    <mergeCell ref="F5:G5"/>
    <mergeCell ref="D6:E6"/>
  </mergeCells>
  <conditionalFormatting sqref="D13:G13 D14 F14:G14 D15:G23">
    <cfRule type="cellIs" dxfId="56" priority="1" operator="lessThan">
      <formula>0.5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2734D-364B-42B2-BF51-ED2B388276B2}">
  <sheetPr>
    <tabColor theme="9" tint="-0.499984740745262"/>
    <pageSetUpPr fitToPage="1"/>
  </sheetPr>
  <dimension ref="B2:L37"/>
  <sheetViews>
    <sheetView showGridLines="0" topLeftCell="A9" workbookViewId="0">
      <selection activeCell="G14" sqref="G14"/>
    </sheetView>
  </sheetViews>
  <sheetFormatPr defaultColWidth="12.5703125" defaultRowHeight="15.75" customHeight="1" x14ac:dyDescent="0.2"/>
  <cols>
    <col min="1" max="1" width="3.42578125" customWidth="1"/>
    <col min="2" max="2" width="14.140625" customWidth="1"/>
    <col min="3" max="3" width="12.5703125" customWidth="1"/>
    <col min="4" max="4" width="17.28515625" bestFit="1" customWidth="1"/>
    <col min="5" max="9" width="12.5703125" customWidth="1"/>
    <col min="10" max="10" width="36.28515625" customWidth="1"/>
    <col min="11" max="11" width="8.85546875" customWidth="1"/>
    <col min="12" max="21" width="7.5703125" customWidth="1"/>
  </cols>
  <sheetData>
    <row r="2" spans="2:12" ht="55.5" customHeight="1" x14ac:dyDescent="0.2">
      <c r="B2" s="670"/>
      <c r="C2" s="671"/>
      <c r="D2" s="672"/>
      <c r="E2" s="673" t="s">
        <v>213</v>
      </c>
      <c r="F2" s="671"/>
      <c r="G2" s="671"/>
      <c r="H2" s="671"/>
      <c r="I2" s="671"/>
      <c r="J2" s="672"/>
      <c r="K2" s="3"/>
    </row>
    <row r="3" spans="2:12" ht="22.5" customHeight="1" x14ac:dyDescent="0.2">
      <c r="B3" s="46"/>
      <c r="C3" s="46"/>
      <c r="D3" s="47"/>
      <c r="E3" s="47"/>
      <c r="F3" s="47"/>
      <c r="G3" s="47"/>
      <c r="H3" s="47"/>
      <c r="I3" s="47"/>
    </row>
    <row r="4" spans="2:12" ht="42" customHeight="1" x14ac:dyDescent="0.2">
      <c r="B4" s="594" t="s">
        <v>214</v>
      </c>
      <c r="C4" s="596"/>
      <c r="D4" s="674" t="str">
        <f>Índex!B16</f>
        <v>PE1.03_Ind03</v>
      </c>
      <c r="E4" s="672"/>
      <c r="F4" s="594" t="s">
        <v>215</v>
      </c>
      <c r="G4" s="596"/>
      <c r="H4" s="674" t="str">
        <f>Índex!C16</f>
        <v>Taxa de graduació per curs acadèmic, a temps complert, i titulació (per cohort, n+1, Màsters).</v>
      </c>
      <c r="I4" s="671"/>
      <c r="J4" s="672"/>
    </row>
    <row r="5" spans="2:12" ht="22.5" customHeight="1" x14ac:dyDescent="0.2">
      <c r="B5" s="594" t="s">
        <v>216</v>
      </c>
      <c r="C5" s="596"/>
      <c r="D5" s="675" t="str">
        <f>Índex!F16</f>
        <v>≥ 85%</v>
      </c>
      <c r="E5" s="676"/>
      <c r="F5" s="677" t="s">
        <v>217</v>
      </c>
      <c r="G5" s="678"/>
      <c r="H5" s="679" t="s">
        <v>218</v>
      </c>
      <c r="I5" s="680"/>
      <c r="J5" s="681"/>
    </row>
    <row r="6" spans="2:12" ht="22.5" customHeight="1" x14ac:dyDescent="0.2">
      <c r="B6" s="594" t="s">
        <v>219</v>
      </c>
      <c r="C6" s="596"/>
      <c r="D6" s="674" t="s">
        <v>220</v>
      </c>
      <c r="E6" s="672"/>
      <c r="F6" s="594" t="s">
        <v>242</v>
      </c>
      <c r="G6" s="595"/>
      <c r="H6" s="12" t="str">
        <f>Índex!E16</f>
        <v>Gestora de Qualitat</v>
      </c>
      <c r="I6" s="40"/>
      <c r="J6" s="19"/>
    </row>
    <row r="7" spans="2:12" ht="22.5" customHeight="1" x14ac:dyDescent="0.2">
      <c r="B7" s="594" t="s">
        <v>222</v>
      </c>
      <c r="C7" s="596"/>
      <c r="D7" s="674" t="str">
        <f>Índex!G16</f>
        <v>PE1.03. Creació,  Disseny i Extinció de Titulacions. Mapa de Titulacions</v>
      </c>
      <c r="E7" s="671"/>
      <c r="F7" s="671"/>
      <c r="G7" s="671"/>
      <c r="H7" s="641"/>
      <c r="I7" s="641"/>
      <c r="J7" s="642"/>
    </row>
    <row r="8" spans="2:12" ht="7.5" customHeight="1" x14ac:dyDescent="0.2"/>
    <row r="9" spans="2:12" ht="22.5" customHeight="1" x14ac:dyDescent="0.2">
      <c r="B9" s="594" t="s">
        <v>223</v>
      </c>
      <c r="C9" s="595"/>
      <c r="D9" s="595"/>
      <c r="E9" s="595"/>
      <c r="F9" s="595"/>
      <c r="G9" s="595"/>
      <c r="H9" s="595"/>
      <c r="I9" s="595"/>
      <c r="J9" s="596"/>
    </row>
    <row r="10" spans="2:12" ht="22.5" customHeight="1" x14ac:dyDescent="0.2">
      <c r="B10" s="14"/>
      <c r="C10" s="13"/>
      <c r="D10" s="13"/>
      <c r="E10" s="13"/>
      <c r="F10" s="13"/>
      <c r="G10" s="13"/>
      <c r="H10" s="13"/>
      <c r="I10" s="13"/>
      <c r="J10" s="13"/>
    </row>
    <row r="11" spans="2:12" ht="22.5" customHeight="1" x14ac:dyDescent="0.2"/>
    <row r="12" spans="2:12" ht="22.5" customHeight="1" x14ac:dyDescent="0.2">
      <c r="B12" s="16"/>
      <c r="C12" s="16"/>
      <c r="D12" s="94" t="s">
        <v>225</v>
      </c>
      <c r="E12" s="94" t="s">
        <v>226</v>
      </c>
      <c r="F12" s="94" t="s">
        <v>227</v>
      </c>
      <c r="G12" s="94" t="s">
        <v>228</v>
      </c>
      <c r="H12" s="94" t="s">
        <v>229</v>
      </c>
      <c r="I12" s="86"/>
      <c r="K12" s="24"/>
    </row>
    <row r="13" spans="2:12" ht="41.25" customHeight="1" x14ac:dyDescent="0.2">
      <c r="B13" s="627" t="s">
        <v>267</v>
      </c>
      <c r="C13" s="653"/>
      <c r="D13" s="57">
        <v>0.94340000000000002</v>
      </c>
      <c r="E13" s="57">
        <v>0.91</v>
      </c>
      <c r="F13" s="57">
        <v>0.97</v>
      </c>
      <c r="G13" s="57">
        <v>0.92</v>
      </c>
      <c r="H13" s="64" t="s">
        <v>260</v>
      </c>
      <c r="I13" s="23"/>
      <c r="K13" s="18"/>
    </row>
    <row r="14" spans="2:12" ht="43.5" customHeight="1" x14ac:dyDescent="0.2">
      <c r="B14" s="627" t="s">
        <v>268</v>
      </c>
      <c r="C14" s="653"/>
      <c r="D14" s="41">
        <v>0.82350000000000001</v>
      </c>
      <c r="E14" s="410">
        <v>0.83</v>
      </c>
      <c r="F14" s="57">
        <v>0.76</v>
      </c>
      <c r="G14" s="57">
        <v>0.85</v>
      </c>
      <c r="H14" s="64" t="s">
        <v>260</v>
      </c>
      <c r="I14" s="682" t="s">
        <v>234</v>
      </c>
      <c r="J14" s="595"/>
      <c r="K14" s="595"/>
      <c r="L14" s="596"/>
    </row>
    <row r="15" spans="2:12" ht="29.25" customHeight="1" x14ac:dyDescent="0.2">
      <c r="B15" s="627" t="s">
        <v>269</v>
      </c>
      <c r="C15" s="653"/>
      <c r="D15" s="57">
        <v>0.93</v>
      </c>
      <c r="E15" s="57">
        <v>1</v>
      </c>
      <c r="F15" s="57">
        <v>0.9</v>
      </c>
      <c r="G15" s="410">
        <v>0.67</v>
      </c>
      <c r="H15" s="64" t="s">
        <v>260</v>
      </c>
      <c r="I15" s="9"/>
      <c r="J15" s="9"/>
      <c r="K15" s="9"/>
    </row>
    <row r="16" spans="2:12" ht="37.5" customHeight="1" x14ac:dyDescent="0.2">
      <c r="B16" s="627" t="s">
        <v>270</v>
      </c>
      <c r="C16" s="653"/>
      <c r="D16" s="410">
        <v>0.89</v>
      </c>
      <c r="E16" s="57">
        <v>0.92</v>
      </c>
      <c r="F16" s="57">
        <v>0.88</v>
      </c>
      <c r="G16" s="57">
        <v>0.86</v>
      </c>
      <c r="H16" s="64" t="s">
        <v>260</v>
      </c>
      <c r="I16" s="683" t="s">
        <v>266</v>
      </c>
      <c r="J16" s="580"/>
      <c r="K16" s="580"/>
      <c r="L16" s="581"/>
    </row>
    <row r="17" spans="2:12" ht="29.25" customHeight="1" x14ac:dyDescent="0.2">
      <c r="B17" s="627" t="s">
        <v>253</v>
      </c>
      <c r="C17" s="653"/>
      <c r="D17" s="410">
        <v>0.91</v>
      </c>
      <c r="E17" s="57">
        <v>0.9</v>
      </c>
      <c r="F17" s="57">
        <v>1</v>
      </c>
      <c r="G17" s="57">
        <v>0.92</v>
      </c>
      <c r="H17" s="64" t="s">
        <v>260</v>
      </c>
      <c r="I17" s="684"/>
      <c r="J17" s="583"/>
      <c r="K17" s="583"/>
      <c r="L17" s="584"/>
    </row>
    <row r="18" spans="2:12" ht="29.25" customHeight="1" x14ac:dyDescent="0.2">
      <c r="B18" s="627" t="s">
        <v>271</v>
      </c>
      <c r="C18" s="653"/>
      <c r="D18" s="410">
        <v>1</v>
      </c>
      <c r="E18" s="57">
        <v>1</v>
      </c>
      <c r="F18" s="57" t="s">
        <v>237</v>
      </c>
      <c r="G18" s="57">
        <v>1</v>
      </c>
      <c r="H18" s="64" t="s">
        <v>260</v>
      </c>
      <c r="I18" s="684"/>
      <c r="J18" s="583"/>
      <c r="K18" s="583"/>
      <c r="L18" s="584"/>
    </row>
    <row r="19" spans="2:12" ht="15" customHeight="1" x14ac:dyDescent="0.2">
      <c r="B19" s="627" t="s">
        <v>272</v>
      </c>
      <c r="C19" s="653"/>
      <c r="D19" s="57">
        <v>0.95</v>
      </c>
      <c r="E19" s="57">
        <v>1</v>
      </c>
      <c r="F19" s="57">
        <v>0.94</v>
      </c>
      <c r="G19" s="410">
        <v>0.56000000000000005</v>
      </c>
      <c r="H19" s="64" t="s">
        <v>260</v>
      </c>
      <c r="I19" s="684"/>
      <c r="J19" s="583"/>
      <c r="K19" s="583"/>
      <c r="L19" s="584"/>
    </row>
    <row r="20" spans="2:12" ht="22.5" customHeight="1" x14ac:dyDescent="0.2">
      <c r="B20" s="687" t="s">
        <v>273</v>
      </c>
      <c r="C20" s="688"/>
      <c r="D20" s="50">
        <f>COUNTIF(D13:D19,"&gt;85%")</f>
        <v>6</v>
      </c>
      <c r="E20" s="50">
        <f>COUNTIF(E13:E19,"&gt;85%")</f>
        <v>6</v>
      </c>
      <c r="F20" s="50">
        <f>COUNTIF(F13:F19,"&gt;85%")</f>
        <v>5</v>
      </c>
      <c r="G20" s="50">
        <v>5</v>
      </c>
      <c r="H20" s="64" t="s">
        <v>260</v>
      </c>
      <c r="I20" s="684"/>
      <c r="J20" s="583"/>
      <c r="K20" s="583"/>
      <c r="L20" s="584"/>
    </row>
    <row r="21" spans="2:12" ht="22.5" customHeight="1" x14ac:dyDescent="0.2">
      <c r="B21" s="689" t="s">
        <v>274</v>
      </c>
      <c r="C21" s="690"/>
      <c r="D21" s="50">
        <f>COUNT(D13:D18)</f>
        <v>6</v>
      </c>
      <c r="E21" s="50">
        <f>COUNT(F13:F20)</f>
        <v>7</v>
      </c>
      <c r="F21" s="50">
        <v>7</v>
      </c>
      <c r="G21" s="50">
        <v>7</v>
      </c>
      <c r="H21" s="64" t="s">
        <v>260</v>
      </c>
      <c r="I21" s="684"/>
      <c r="J21" s="583"/>
      <c r="K21" s="583"/>
      <c r="L21" s="584"/>
    </row>
    <row r="22" spans="2:12" ht="22.5" customHeight="1" x14ac:dyDescent="0.2">
      <c r="B22" s="685" t="s">
        <v>231</v>
      </c>
      <c r="C22" s="686"/>
      <c r="D22" s="507">
        <v>0.85</v>
      </c>
      <c r="E22" s="507">
        <v>0.85</v>
      </c>
      <c r="F22" s="511">
        <v>0.85</v>
      </c>
      <c r="G22" s="511">
        <v>0.85</v>
      </c>
      <c r="H22" s="64" t="s">
        <v>260</v>
      </c>
      <c r="I22" s="684"/>
      <c r="J22" s="583"/>
      <c r="K22" s="583"/>
      <c r="L22" s="584"/>
    </row>
    <row r="23" spans="2:12" ht="22.5" customHeight="1" x14ac:dyDescent="0.2">
      <c r="B23" s="685" t="s">
        <v>232</v>
      </c>
      <c r="C23" s="686"/>
      <c r="D23" s="508">
        <f>D20/D21</f>
        <v>1</v>
      </c>
      <c r="E23" s="52">
        <f>E20/E21</f>
        <v>0.8571428571428571</v>
      </c>
      <c r="F23" s="52">
        <f>F20/F21</f>
        <v>0.7142857142857143</v>
      </c>
      <c r="G23" s="52">
        <f>G20/G21</f>
        <v>0.7142857142857143</v>
      </c>
      <c r="H23" s="64" t="s">
        <v>260</v>
      </c>
      <c r="I23" s="586"/>
      <c r="J23" s="586"/>
      <c r="K23" s="586"/>
      <c r="L23" s="587"/>
    </row>
    <row r="24" spans="2:12" ht="22.5" customHeight="1" x14ac:dyDescent="0.25">
      <c r="B24" s="7"/>
      <c r="C24" s="7"/>
      <c r="D24" s="6"/>
      <c r="E24" s="6"/>
      <c r="F24" s="6"/>
      <c r="G24" s="6"/>
      <c r="H24" s="6"/>
      <c r="I24" s="6"/>
      <c r="J24" s="6"/>
    </row>
    <row r="25" spans="2:12" ht="22.5" customHeight="1" x14ac:dyDescent="0.2">
      <c r="B25" s="594" t="s">
        <v>233</v>
      </c>
      <c r="C25" s="595"/>
      <c r="D25" s="595"/>
      <c r="E25" s="596"/>
      <c r="F25" s="8"/>
    </row>
    <row r="37" spans="8:10" ht="19.5" customHeight="1" x14ac:dyDescent="0.2">
      <c r="H37" s="588" t="s">
        <v>172</v>
      </c>
      <c r="I37" s="589"/>
      <c r="J37" s="589"/>
    </row>
  </sheetData>
  <sheetProtection sheet="1" formatCells="0" formatColumns="0" formatRows="0" insertColumns="0" insertRows="0" insertHyperlinks="0" deleteColumns="0" deleteRows="0" pivotTables="0"/>
  <mergeCells count="31">
    <mergeCell ref="H37:J37"/>
    <mergeCell ref="B18:C18"/>
    <mergeCell ref="B22:C22"/>
    <mergeCell ref="B23:C23"/>
    <mergeCell ref="B17:C17"/>
    <mergeCell ref="B19:C19"/>
    <mergeCell ref="B20:C20"/>
    <mergeCell ref="B21:C21"/>
    <mergeCell ref="B25:E25"/>
    <mergeCell ref="I14:L14"/>
    <mergeCell ref="I16:L23"/>
    <mergeCell ref="B16:C16"/>
    <mergeCell ref="B14:C14"/>
    <mergeCell ref="B15:C15"/>
    <mergeCell ref="B9:J9"/>
    <mergeCell ref="B13:C13"/>
    <mergeCell ref="B7:C7"/>
    <mergeCell ref="D7:J7"/>
    <mergeCell ref="B5:C5"/>
    <mergeCell ref="D5:E5"/>
    <mergeCell ref="F5:G5"/>
    <mergeCell ref="H5:J5"/>
    <mergeCell ref="B6:C6"/>
    <mergeCell ref="D6:E6"/>
    <mergeCell ref="F6:G6"/>
    <mergeCell ref="B2:D2"/>
    <mergeCell ref="E2:J2"/>
    <mergeCell ref="B4:C4"/>
    <mergeCell ref="D4:E4"/>
    <mergeCell ref="F4:G4"/>
    <mergeCell ref="H4:J4"/>
  </mergeCells>
  <conditionalFormatting sqref="B12:G19">
    <cfRule type="cellIs" priority="2" operator="lessThan">
      <formula>0.85</formula>
    </cfRule>
  </conditionalFormatting>
  <conditionalFormatting sqref="D13:F19">
    <cfRule type="cellIs" priority="5" operator="lessThan">
      <formula>0.85</formula>
    </cfRule>
  </conditionalFormatting>
  <conditionalFormatting sqref="H12">
    <cfRule type="cellIs" priority="1" operator="lessThan">
      <formula>0.85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D91E9-DD39-42C6-9001-D24FE1F38A81}">
  <sheetPr>
    <tabColor theme="9" tint="-0.499984740745262"/>
    <pageSetUpPr fitToPage="1"/>
  </sheetPr>
  <dimension ref="B2:K48"/>
  <sheetViews>
    <sheetView showGridLines="0" tabSelected="1" workbookViewId="0">
      <selection activeCell="G5" sqref="G5:I5"/>
    </sheetView>
  </sheetViews>
  <sheetFormatPr defaultColWidth="12.5703125" defaultRowHeight="15.75" customHeight="1" x14ac:dyDescent="0.2"/>
  <cols>
    <col min="1" max="1" width="3.42578125" customWidth="1"/>
    <col min="2" max="2" width="14.140625" customWidth="1"/>
    <col min="3" max="3" width="12.5703125" customWidth="1"/>
    <col min="4" max="4" width="17.28515625" bestFit="1" customWidth="1"/>
    <col min="5" max="8" width="12.5703125" customWidth="1"/>
    <col min="9" max="9" width="36.28515625" customWidth="1"/>
    <col min="10" max="10" width="8.85546875" customWidth="1"/>
    <col min="11" max="20" width="7.5703125" customWidth="1"/>
  </cols>
  <sheetData>
    <row r="2" spans="2:9" ht="55.5" customHeight="1" x14ac:dyDescent="0.2">
      <c r="B2" s="670"/>
      <c r="C2" s="671"/>
      <c r="D2" s="672"/>
      <c r="E2" s="673" t="s">
        <v>213</v>
      </c>
      <c r="F2" s="671"/>
      <c r="G2" s="671"/>
      <c r="H2" s="671"/>
      <c r="I2" s="672"/>
    </row>
    <row r="3" spans="2:9" ht="22.5" customHeight="1" x14ac:dyDescent="0.2">
      <c r="B3" s="46"/>
      <c r="C3" s="46"/>
      <c r="D3" s="47"/>
      <c r="E3" s="47"/>
      <c r="F3" s="47"/>
      <c r="G3" s="47"/>
      <c r="H3" s="47"/>
    </row>
    <row r="4" spans="2:9" ht="42" customHeight="1" x14ac:dyDescent="0.2">
      <c r="B4" s="594" t="s">
        <v>214</v>
      </c>
      <c r="C4" s="596"/>
      <c r="D4" s="674" t="str">
        <f>Índex!B17</f>
        <v>PE1.03_Ind04</v>
      </c>
      <c r="E4" s="672"/>
      <c r="F4" s="70" t="s">
        <v>215</v>
      </c>
      <c r="G4" s="674" t="str">
        <f>Índex!C17</f>
        <v xml:space="preserve">Taxa d’ocupació de les persones titulades, per titulació </v>
      </c>
      <c r="H4" s="671"/>
      <c r="I4" s="672"/>
    </row>
    <row r="5" spans="2:9" ht="22.5" customHeight="1" x14ac:dyDescent="0.2">
      <c r="B5" s="594" t="s">
        <v>216</v>
      </c>
      <c r="C5" s="596"/>
      <c r="D5" s="675" t="str">
        <f>Índex!F17</f>
        <v>≥70%</v>
      </c>
      <c r="E5" s="676"/>
      <c r="F5" s="122" t="s">
        <v>217</v>
      </c>
      <c r="G5" s="679" t="s">
        <v>241</v>
      </c>
      <c r="H5" s="680"/>
      <c r="I5" s="681"/>
    </row>
    <row r="6" spans="2:9" ht="22.5" customHeight="1" x14ac:dyDescent="0.2">
      <c r="B6" s="594" t="s">
        <v>219</v>
      </c>
      <c r="C6" s="596"/>
      <c r="D6" s="691" t="s">
        <v>220</v>
      </c>
      <c r="E6" s="636"/>
      <c r="F6" s="282" t="s">
        <v>242</v>
      </c>
      <c r="G6" s="127" t="str">
        <f>Índex!E17</f>
        <v>Gestora de Qualitat</v>
      </c>
      <c r="H6" s="283"/>
      <c r="I6" s="117"/>
    </row>
    <row r="7" spans="2:9" ht="22.5" customHeight="1" x14ac:dyDescent="0.2">
      <c r="B7" s="594" t="s">
        <v>222</v>
      </c>
      <c r="C7" s="595"/>
      <c r="D7" s="692" t="str">
        <f>Índex!G17</f>
        <v>PE1.03. Creació,  Disseny i Extinció de Titulacions. Mapa de Titulacions</v>
      </c>
      <c r="E7" s="693"/>
      <c r="F7" s="693"/>
      <c r="G7" s="693"/>
      <c r="H7" s="693"/>
      <c r="I7" s="694"/>
    </row>
    <row r="8" spans="2:9" ht="7.5" customHeight="1" x14ac:dyDescent="0.2"/>
    <row r="9" spans="2:9" ht="22.5" customHeight="1" x14ac:dyDescent="0.2">
      <c r="B9" s="594" t="s">
        <v>223</v>
      </c>
      <c r="C9" s="595"/>
      <c r="D9" s="595"/>
      <c r="E9" s="595"/>
      <c r="F9" s="595"/>
      <c r="G9" s="595"/>
      <c r="H9" s="595"/>
      <c r="I9" s="596"/>
    </row>
    <row r="10" spans="2:9" ht="22.5" customHeight="1" x14ac:dyDescent="0.2">
      <c r="B10" s="20" t="s">
        <v>172</v>
      </c>
      <c r="C10" s="13"/>
      <c r="D10" s="13"/>
      <c r="E10" s="13"/>
      <c r="F10" s="13"/>
      <c r="G10" s="13"/>
      <c r="H10" s="13"/>
      <c r="I10" s="13"/>
    </row>
    <row r="11" spans="2:9" ht="22.5" customHeight="1" x14ac:dyDescent="0.2"/>
    <row r="12" spans="2:9" ht="22.5" customHeight="1" x14ac:dyDescent="0.2">
      <c r="B12" s="16"/>
      <c r="C12" s="16"/>
      <c r="D12" s="103">
        <v>2014</v>
      </c>
      <c r="E12" s="103">
        <v>2017</v>
      </c>
      <c r="F12" s="103">
        <v>2020</v>
      </c>
      <c r="G12" s="103">
        <v>2023</v>
      </c>
      <c r="I12" s="24"/>
    </row>
    <row r="13" spans="2:9" ht="41.25" customHeight="1" x14ac:dyDescent="0.2">
      <c r="B13" s="695" t="s">
        <v>244</v>
      </c>
      <c r="C13" s="695"/>
      <c r="D13" s="64">
        <v>0.7</v>
      </c>
      <c r="E13" s="75">
        <v>0.84199999999999997</v>
      </c>
      <c r="F13" s="64">
        <v>0.77</v>
      </c>
      <c r="G13" s="75">
        <v>0.85699999999999998</v>
      </c>
      <c r="I13" s="18"/>
    </row>
    <row r="14" spans="2:9" ht="13.5" x14ac:dyDescent="0.2">
      <c r="B14" s="695" t="s">
        <v>246</v>
      </c>
      <c r="C14" s="695"/>
      <c r="D14" s="64">
        <v>0.87</v>
      </c>
      <c r="E14" s="75">
        <v>0.95699999999999996</v>
      </c>
      <c r="F14" s="75">
        <v>0.90300000000000002</v>
      </c>
      <c r="G14" s="75">
        <v>0.92600000000000005</v>
      </c>
      <c r="I14" s="18"/>
    </row>
    <row r="15" spans="2:9" ht="13.5" x14ac:dyDescent="0.2">
      <c r="B15" s="695" t="s">
        <v>247</v>
      </c>
      <c r="C15" s="695"/>
      <c r="D15" s="75" t="s">
        <v>275</v>
      </c>
      <c r="E15" s="75" t="s">
        <v>275</v>
      </c>
      <c r="F15" s="64">
        <v>0.87</v>
      </c>
      <c r="G15" s="64">
        <v>0.95</v>
      </c>
      <c r="I15" s="18"/>
    </row>
    <row r="16" spans="2:9" ht="37.5" customHeight="1" x14ac:dyDescent="0.2">
      <c r="B16" s="695" t="s">
        <v>250</v>
      </c>
      <c r="C16" s="695"/>
      <c r="D16" s="93" t="s">
        <v>276</v>
      </c>
      <c r="E16" s="75">
        <v>0.69599999999999995</v>
      </c>
      <c r="F16" s="75">
        <v>0.90300000000000002</v>
      </c>
      <c r="G16" s="75">
        <v>0.93200000000000005</v>
      </c>
      <c r="I16" s="18"/>
    </row>
    <row r="17" spans="2:11" ht="50.25" customHeight="1" x14ac:dyDescent="0.2">
      <c r="B17" s="695" t="s">
        <v>251</v>
      </c>
      <c r="C17" s="695"/>
      <c r="D17" s="75" t="s">
        <v>277</v>
      </c>
      <c r="E17" s="75" t="s">
        <v>277</v>
      </c>
      <c r="F17" s="75" t="s">
        <v>277</v>
      </c>
      <c r="G17" s="75" t="s">
        <v>277</v>
      </c>
      <c r="I17" s="18"/>
    </row>
    <row r="18" spans="2:11" ht="29.25" customHeight="1" x14ac:dyDescent="0.2">
      <c r="B18" s="695" t="s">
        <v>252</v>
      </c>
      <c r="C18" s="695"/>
      <c r="D18" s="75">
        <v>0.95699999999999996</v>
      </c>
      <c r="E18" s="64">
        <v>0.87</v>
      </c>
      <c r="F18" s="75">
        <v>0.90300000000000002</v>
      </c>
      <c r="G18" s="75">
        <v>0.88600000000000001</v>
      </c>
      <c r="I18" s="18"/>
    </row>
    <row r="19" spans="2:11" ht="29.25" customHeight="1" x14ac:dyDescent="0.2">
      <c r="B19" s="695" t="s">
        <v>253</v>
      </c>
      <c r="C19" s="695"/>
      <c r="D19" s="75" t="s">
        <v>278</v>
      </c>
      <c r="E19" s="75" t="s">
        <v>279</v>
      </c>
      <c r="F19" s="75">
        <v>0.91100000000000003</v>
      </c>
      <c r="G19" s="75">
        <v>0.83599999999999997</v>
      </c>
      <c r="I19" s="23"/>
    </row>
    <row r="20" spans="2:11" ht="15" customHeight="1" x14ac:dyDescent="0.2">
      <c r="B20" s="695" t="s">
        <v>254</v>
      </c>
      <c r="C20" s="695"/>
      <c r="D20" s="75">
        <v>0.81299999999999994</v>
      </c>
      <c r="E20" s="75">
        <v>0.91800000000000004</v>
      </c>
      <c r="F20" s="75">
        <v>0.90600000000000003</v>
      </c>
      <c r="G20" s="75">
        <v>0.90100000000000002</v>
      </c>
      <c r="I20" s="18"/>
    </row>
    <row r="21" spans="2:11" ht="39" customHeight="1" x14ac:dyDescent="0.2">
      <c r="B21" s="695" t="s">
        <v>267</v>
      </c>
      <c r="C21" s="695"/>
      <c r="D21" s="75">
        <v>0.878</v>
      </c>
      <c r="E21" s="75">
        <v>0.92200000000000004</v>
      </c>
      <c r="F21" s="75">
        <v>0.875</v>
      </c>
      <c r="G21" s="64">
        <v>0.9</v>
      </c>
      <c r="I21" s="18"/>
    </row>
    <row r="22" spans="2:11" ht="45" customHeight="1" x14ac:dyDescent="0.2">
      <c r="B22" s="695" t="s">
        <v>280</v>
      </c>
      <c r="C22" s="695"/>
      <c r="D22" s="75">
        <v>0.76300000000000001</v>
      </c>
      <c r="E22" s="75">
        <v>0.76800000000000002</v>
      </c>
      <c r="F22" s="64">
        <v>0.85</v>
      </c>
      <c r="G22" s="75">
        <v>0.95199999999999996</v>
      </c>
      <c r="I22" s="18"/>
    </row>
    <row r="23" spans="2:11" ht="28.5" customHeight="1" x14ac:dyDescent="0.2">
      <c r="B23" s="695" t="s">
        <v>281</v>
      </c>
      <c r="C23" s="695"/>
      <c r="D23" s="75">
        <v>0.71899999999999997</v>
      </c>
      <c r="E23" s="75">
        <v>0.81299999999999994</v>
      </c>
      <c r="F23" s="75">
        <v>0.877</v>
      </c>
      <c r="G23" s="75">
        <v>0.76500000000000001</v>
      </c>
      <c r="I23" s="595"/>
      <c r="J23" s="595"/>
      <c r="K23" s="596"/>
    </row>
    <row r="24" spans="2:11" ht="33.75" customHeight="1" x14ac:dyDescent="0.2">
      <c r="B24" s="695" t="s">
        <v>282</v>
      </c>
      <c r="C24" s="695"/>
      <c r="D24" s="75">
        <v>0.76300000000000001</v>
      </c>
      <c r="E24" s="75">
        <v>0.76800000000000002</v>
      </c>
      <c r="F24" s="64">
        <v>0.85</v>
      </c>
      <c r="G24" s="75">
        <v>0.93600000000000005</v>
      </c>
      <c r="I24" s="9"/>
      <c r="J24" s="9"/>
      <c r="K24" s="9"/>
    </row>
    <row r="25" spans="2:11" ht="26.25" customHeight="1" x14ac:dyDescent="0.2">
      <c r="B25" s="695" t="s">
        <v>283</v>
      </c>
      <c r="C25" s="695"/>
      <c r="D25" s="64">
        <v>0.92</v>
      </c>
      <c r="E25" s="75">
        <v>0.89300000000000002</v>
      </c>
      <c r="F25" s="75">
        <v>0.97099999999999997</v>
      </c>
      <c r="G25" s="75">
        <v>0.95499999999999996</v>
      </c>
      <c r="I25" s="696" t="s">
        <v>284</v>
      </c>
      <c r="J25" s="696"/>
      <c r="K25" s="696"/>
    </row>
    <row r="26" spans="2:11" ht="26.25" customHeight="1" x14ac:dyDescent="0.2">
      <c r="B26" s="695" t="s">
        <v>271</v>
      </c>
      <c r="C26" s="695"/>
      <c r="D26" s="75">
        <v>0.83599999999999997</v>
      </c>
      <c r="E26" s="75">
        <v>0.88900000000000001</v>
      </c>
      <c r="F26" s="64">
        <v>0.88</v>
      </c>
      <c r="G26" s="75">
        <v>0.86699999999999999</v>
      </c>
      <c r="I26" s="697"/>
      <c r="J26" s="697"/>
      <c r="K26" s="696"/>
    </row>
    <row r="27" spans="2:11" ht="44.1" customHeight="1" x14ac:dyDescent="0.2">
      <c r="B27" s="695" t="s">
        <v>285</v>
      </c>
      <c r="C27" s="695"/>
      <c r="D27" s="64">
        <v>0.95</v>
      </c>
      <c r="E27" s="75">
        <v>0.69199999999999995</v>
      </c>
      <c r="F27" s="75">
        <v>0.82899999999999996</v>
      </c>
      <c r="G27" s="75">
        <v>0.92200000000000004</v>
      </c>
      <c r="I27" s="697"/>
      <c r="J27" s="697"/>
      <c r="K27" s="696"/>
    </row>
    <row r="28" spans="2:11" ht="26.45" customHeight="1" x14ac:dyDescent="0.2">
      <c r="B28" s="698" t="s">
        <v>286</v>
      </c>
      <c r="C28" s="699"/>
      <c r="D28" s="50">
        <f>COUNTIF(D13:D27,"&gt;=70%")</f>
        <v>11</v>
      </c>
      <c r="E28" s="50">
        <f t="shared" ref="E28:F28" si="0">COUNTIF(E13:E27,"&gt;=70%")</f>
        <v>10</v>
      </c>
      <c r="F28" s="50">
        <f t="shared" si="0"/>
        <v>14</v>
      </c>
      <c r="G28" s="50">
        <f t="shared" ref="G28" si="1">COUNTIF(G13:G27,"&gt;=70%")</f>
        <v>14</v>
      </c>
      <c r="H28" s="18"/>
      <c r="I28" s="697"/>
      <c r="J28" s="697"/>
      <c r="K28" s="696"/>
    </row>
    <row r="29" spans="2:11" ht="32.1" customHeight="1" x14ac:dyDescent="0.2">
      <c r="B29" s="698" t="s">
        <v>257</v>
      </c>
      <c r="C29" s="699"/>
      <c r="D29" s="50">
        <f>COUNT(D13:D27)</f>
        <v>11</v>
      </c>
      <c r="E29" s="50">
        <f>COUNT(E13:E27)</f>
        <v>12</v>
      </c>
      <c r="F29" s="50">
        <f>COUNT(F13:F27)</f>
        <v>14</v>
      </c>
      <c r="G29" s="50">
        <f>COUNT(G13:G27)</f>
        <v>14</v>
      </c>
      <c r="H29" s="18"/>
      <c r="I29" s="697"/>
      <c r="J29" s="697"/>
      <c r="K29" s="696"/>
    </row>
    <row r="30" spans="2:11" ht="32.1" customHeight="1" x14ac:dyDescent="0.2">
      <c r="B30" s="700" t="s">
        <v>5</v>
      </c>
      <c r="C30" s="701"/>
      <c r="D30" s="507">
        <v>0.7</v>
      </c>
      <c r="E30" s="507">
        <v>0.7</v>
      </c>
      <c r="F30" s="507">
        <v>0.7</v>
      </c>
      <c r="G30" s="507">
        <v>0.7</v>
      </c>
      <c r="H30" s="18"/>
      <c r="I30" s="697"/>
      <c r="J30" s="697"/>
      <c r="K30" s="696"/>
    </row>
    <row r="31" spans="2:11" ht="15" customHeight="1" x14ac:dyDescent="0.2">
      <c r="B31" s="700" t="s">
        <v>240</v>
      </c>
      <c r="C31" s="701"/>
      <c r="D31" s="508">
        <f>D28/D29</f>
        <v>1</v>
      </c>
      <c r="E31" s="52">
        <f>E28/E29</f>
        <v>0.83333333333333337</v>
      </c>
      <c r="F31" s="52">
        <f>F28/F29</f>
        <v>1</v>
      </c>
      <c r="G31" s="508">
        <f>G28/G29</f>
        <v>1</v>
      </c>
      <c r="H31" s="18"/>
      <c r="I31" s="697"/>
      <c r="J31" s="697"/>
      <c r="K31" s="696"/>
    </row>
    <row r="32" spans="2:11" ht="15" customHeight="1" x14ac:dyDescent="0.2">
      <c r="B32" s="21"/>
      <c r="C32" s="21"/>
      <c r="D32" s="22"/>
      <c r="E32" s="22"/>
      <c r="F32" s="22"/>
      <c r="H32" s="18"/>
      <c r="I32" s="697"/>
      <c r="J32" s="697"/>
      <c r="K32" s="696"/>
    </row>
    <row r="33" spans="2:11" ht="15" customHeight="1" x14ac:dyDescent="0.2">
      <c r="B33" s="21"/>
      <c r="C33" s="21"/>
      <c r="D33" s="22"/>
      <c r="E33" s="22"/>
      <c r="F33" s="22"/>
      <c r="H33" s="18"/>
      <c r="I33" s="696"/>
      <c r="J33" s="696"/>
      <c r="K33" s="696"/>
    </row>
    <row r="34" spans="2:11" ht="15" customHeight="1" x14ac:dyDescent="0.2">
      <c r="B34" s="21"/>
      <c r="C34" s="21"/>
      <c r="D34" s="22"/>
      <c r="E34" s="22"/>
      <c r="F34" s="22"/>
      <c r="H34" s="18"/>
      <c r="J34" s="18"/>
    </row>
    <row r="35" spans="2:11" ht="22.5" customHeight="1" x14ac:dyDescent="0.25">
      <c r="B35" s="7"/>
      <c r="C35" s="7"/>
      <c r="D35" s="6"/>
      <c r="E35" s="6"/>
      <c r="F35" s="6"/>
      <c r="G35" s="6"/>
      <c r="H35" s="6"/>
      <c r="I35" s="6"/>
    </row>
    <row r="36" spans="2:11" ht="22.5" customHeight="1" x14ac:dyDescent="0.2">
      <c r="B36" s="647" t="s">
        <v>233</v>
      </c>
      <c r="C36" s="648"/>
      <c r="D36" s="648"/>
      <c r="E36" s="648"/>
      <c r="F36" s="648"/>
      <c r="G36" s="648"/>
      <c r="H36" s="648"/>
      <c r="I36" s="648"/>
      <c r="J36" s="648"/>
      <c r="K36" s="648"/>
    </row>
    <row r="37" spans="2:11" ht="22.5" customHeight="1" x14ac:dyDescent="0.2">
      <c r="B37" s="8"/>
      <c r="C37" s="8"/>
      <c r="D37" s="8"/>
      <c r="E37" s="8"/>
      <c r="F37" s="8"/>
    </row>
    <row r="38" spans="2:11" ht="6" customHeight="1" x14ac:dyDescent="0.2">
      <c r="B38" s="8"/>
      <c r="C38" s="8"/>
      <c r="D38" s="8"/>
      <c r="E38" s="8"/>
      <c r="F38" s="8"/>
    </row>
    <row r="39" spans="2:11" ht="19.5" customHeight="1" x14ac:dyDescent="0.2">
      <c r="B39" s="8"/>
      <c r="C39" s="8"/>
      <c r="D39" s="8"/>
      <c r="E39" s="8"/>
      <c r="F39" s="8"/>
    </row>
    <row r="40" spans="2:11" ht="19.5" customHeight="1" x14ac:dyDescent="0.2">
      <c r="B40" s="8"/>
      <c r="C40" s="8"/>
      <c r="D40" s="8"/>
      <c r="E40" s="8"/>
      <c r="F40" s="8"/>
    </row>
    <row r="41" spans="2:11" ht="19.5" customHeight="1" x14ac:dyDescent="0.2">
      <c r="B41" s="8"/>
      <c r="C41" s="8"/>
      <c r="D41" s="8"/>
      <c r="E41" s="8"/>
      <c r="F41" s="8"/>
    </row>
    <row r="42" spans="2:11" ht="19.5" customHeight="1" x14ac:dyDescent="0.2">
      <c r="B42" s="8"/>
      <c r="C42" s="8"/>
      <c r="D42" s="8"/>
      <c r="E42" s="8"/>
      <c r="F42" s="8"/>
    </row>
    <row r="43" spans="2:11" ht="19.5" customHeight="1" x14ac:dyDescent="0.2">
      <c r="B43" s="8"/>
      <c r="C43" s="8"/>
      <c r="D43" s="8"/>
      <c r="E43" s="8"/>
      <c r="F43" s="8"/>
    </row>
    <row r="44" spans="2:11" ht="19.5" customHeight="1" x14ac:dyDescent="0.2">
      <c r="B44" s="8"/>
      <c r="C44" s="8"/>
      <c r="D44" s="8"/>
      <c r="E44" s="8"/>
      <c r="F44" s="8"/>
    </row>
    <row r="45" spans="2:11" ht="19.5" customHeight="1" x14ac:dyDescent="0.2">
      <c r="B45" s="8"/>
      <c r="C45" s="8"/>
      <c r="D45" s="8"/>
      <c r="E45" s="8"/>
      <c r="F45" s="8"/>
    </row>
    <row r="46" spans="2:11" ht="19.5" customHeight="1" x14ac:dyDescent="0.2">
      <c r="B46" s="8"/>
      <c r="C46" s="8"/>
      <c r="D46" s="8"/>
      <c r="E46" s="8"/>
      <c r="F46" s="8"/>
    </row>
    <row r="47" spans="2:11" ht="19.5" customHeight="1" x14ac:dyDescent="0.2"/>
    <row r="48" spans="2:11" ht="19.5" customHeight="1" x14ac:dyDescent="0.2">
      <c r="G48" s="588" t="s">
        <v>172</v>
      </c>
      <c r="H48" s="589"/>
      <c r="I48" s="589"/>
    </row>
  </sheetData>
  <sheetProtection sheet="1" formatCells="0" formatColumns="0" formatRows="0" insertColumns="0" insertRows="0" insertHyperlinks="0" deleteColumns="0" deleteRows="0" pivotTables="0"/>
  <mergeCells count="36">
    <mergeCell ref="I23:K23"/>
    <mergeCell ref="I25:K33"/>
    <mergeCell ref="B36:K36"/>
    <mergeCell ref="B28:C28"/>
    <mergeCell ref="B29:C29"/>
    <mergeCell ref="B30:C30"/>
    <mergeCell ref="B31:C31"/>
    <mergeCell ref="G48:I48"/>
    <mergeCell ref="B13:C13"/>
    <mergeCell ref="B14:C14"/>
    <mergeCell ref="B15:C15"/>
    <mergeCell ref="B16:C16"/>
    <mergeCell ref="B17:C17"/>
    <mergeCell ref="B18:C18"/>
    <mergeCell ref="B19:C19"/>
    <mergeCell ref="B20:C20"/>
    <mergeCell ref="B27:C27"/>
    <mergeCell ref="B24:C24"/>
    <mergeCell ref="B21:C21"/>
    <mergeCell ref="B22:C22"/>
    <mergeCell ref="B23:C23"/>
    <mergeCell ref="B25:C25"/>
    <mergeCell ref="B26:C26"/>
    <mergeCell ref="B5:C5"/>
    <mergeCell ref="D5:E5"/>
    <mergeCell ref="B9:I9"/>
    <mergeCell ref="B7:C7"/>
    <mergeCell ref="G5:I5"/>
    <mergeCell ref="B6:C6"/>
    <mergeCell ref="D6:E6"/>
    <mergeCell ref="D7:I7"/>
    <mergeCell ref="B2:D2"/>
    <mergeCell ref="E2:I2"/>
    <mergeCell ref="B4:C4"/>
    <mergeCell ref="D4:E4"/>
    <mergeCell ref="G4:I4"/>
  </mergeCells>
  <conditionalFormatting sqref="D13:G27">
    <cfRule type="cellIs" dxfId="55" priority="1" operator="lessThan">
      <formula>0.7</formula>
    </cfRule>
    <cfRule type="cellIs" dxfId="54" priority="2" operator="between">
      <formula>0</formula>
      <formula>0.63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23DDC-518B-4DCF-8DF3-2E7EA555689F}">
  <sheetPr>
    <tabColor theme="9" tint="-0.499984740745262"/>
    <pageSetUpPr fitToPage="1"/>
  </sheetPr>
  <dimension ref="B2:J29"/>
  <sheetViews>
    <sheetView showGridLines="0" topLeftCell="A8" workbookViewId="0">
      <selection activeCell="G15" sqref="G15"/>
    </sheetView>
  </sheetViews>
  <sheetFormatPr defaultColWidth="12.5703125" defaultRowHeight="15.75" customHeight="1" x14ac:dyDescent="0.2"/>
  <cols>
    <col min="1" max="1" width="3.42578125" customWidth="1"/>
    <col min="2" max="2" width="21.85546875" customWidth="1"/>
    <col min="3" max="9" width="12.5703125" customWidth="1"/>
    <col min="10" max="10" width="17.42578125" bestFit="1" customWidth="1"/>
    <col min="11" max="13" width="8.85546875" customWidth="1"/>
    <col min="14" max="23" width="7.5703125" customWidth="1"/>
  </cols>
  <sheetData>
    <row r="2" spans="2:10" ht="55.5" customHeight="1" x14ac:dyDescent="0.2">
      <c r="B2" s="702"/>
      <c r="C2" s="703"/>
      <c r="D2" s="704"/>
      <c r="E2" s="705" t="s">
        <v>213</v>
      </c>
      <c r="F2" s="703"/>
      <c r="G2" s="703"/>
      <c r="H2" s="703"/>
      <c r="I2" s="703"/>
      <c r="J2" s="704"/>
    </row>
    <row r="3" spans="2:10" ht="22.5" customHeight="1" x14ac:dyDescent="0.2">
      <c r="B3" s="309"/>
      <c r="C3" s="309"/>
      <c r="D3" s="309"/>
      <c r="E3" s="309"/>
      <c r="F3" s="309"/>
      <c r="G3" s="309"/>
      <c r="H3" s="309"/>
      <c r="I3" s="309"/>
      <c r="J3" s="308"/>
    </row>
    <row r="4" spans="2:10" ht="64.5" customHeight="1" x14ac:dyDescent="0.2">
      <c r="B4" s="573" t="s">
        <v>214</v>
      </c>
      <c r="C4" s="706"/>
      <c r="D4" s="707" t="str">
        <f>Índex!B18</f>
        <v>PE1.03_Ind05</v>
      </c>
      <c r="E4" s="704"/>
      <c r="F4" s="573" t="s">
        <v>215</v>
      </c>
      <c r="G4" s="706"/>
      <c r="H4" s="707" t="str">
        <f>Índex!C18</f>
        <v>Percentatge de titulacions coordinades que s’han presentat a AQU per ser verificades, en relació amb la totalitat de titulacions coordinades</v>
      </c>
      <c r="I4" s="703"/>
      <c r="J4" s="704"/>
    </row>
    <row r="5" spans="2:10" ht="50.25" customHeight="1" x14ac:dyDescent="0.2">
      <c r="B5" s="573" t="s">
        <v>216</v>
      </c>
      <c r="C5" s="706"/>
      <c r="D5" s="597" t="str">
        <f>Índex!F18</f>
        <v>&lt;25%</v>
      </c>
      <c r="E5" s="704"/>
      <c r="F5" s="599" t="s">
        <v>217</v>
      </c>
      <c r="G5" s="706"/>
      <c r="H5" s="708" t="s">
        <v>218</v>
      </c>
      <c r="I5" s="709"/>
      <c r="J5" s="710"/>
    </row>
    <row r="6" spans="2:10" ht="22.5" customHeight="1" x14ac:dyDescent="0.2">
      <c r="B6" s="573" t="s">
        <v>219</v>
      </c>
      <c r="C6" s="706"/>
      <c r="D6" s="707" t="s">
        <v>220</v>
      </c>
      <c r="E6" s="704"/>
      <c r="F6" s="573" t="s">
        <v>221</v>
      </c>
      <c r="G6" s="711"/>
      <c r="H6" s="310" t="str">
        <f>Índex!E18</f>
        <v>Gestora de Qualitat</v>
      </c>
      <c r="I6" s="311"/>
      <c r="J6" s="312"/>
    </row>
    <row r="7" spans="2:10" ht="22.5" customHeight="1" x14ac:dyDescent="0.2">
      <c r="B7" s="573" t="s">
        <v>222</v>
      </c>
      <c r="C7" s="706"/>
      <c r="D7" s="707" t="str">
        <f>Índex!G18</f>
        <v>PE1.03. Creació,  Disseny i Extinció de Titulacions. Mapa de Titulacions</v>
      </c>
      <c r="E7" s="703"/>
      <c r="F7" s="703"/>
      <c r="G7" s="703"/>
      <c r="H7" s="703"/>
      <c r="I7" s="703"/>
      <c r="J7" s="704"/>
    </row>
    <row r="8" spans="2:10" ht="7.5" customHeight="1" x14ac:dyDescent="0.2">
      <c r="B8" s="308"/>
      <c r="C8" s="308"/>
      <c r="D8" s="308"/>
      <c r="E8" s="308"/>
      <c r="F8" s="308"/>
      <c r="G8" s="308"/>
      <c r="H8" s="308"/>
      <c r="I8" s="308"/>
      <c r="J8" s="308"/>
    </row>
    <row r="9" spans="2:10" ht="22.5" customHeight="1" x14ac:dyDescent="0.2">
      <c r="B9" s="573" t="s">
        <v>223</v>
      </c>
      <c r="C9" s="711"/>
      <c r="D9" s="711"/>
      <c r="E9" s="711"/>
      <c r="F9" s="711"/>
      <c r="G9" s="711"/>
      <c r="H9" s="711"/>
      <c r="I9" s="711"/>
      <c r="J9" s="706"/>
    </row>
    <row r="10" spans="2:10" ht="7.5" customHeight="1" x14ac:dyDescent="0.2">
      <c r="B10" s="308"/>
      <c r="C10" s="308"/>
      <c r="D10" s="308"/>
      <c r="E10" s="308"/>
      <c r="F10" s="308"/>
      <c r="G10" s="308"/>
      <c r="H10" s="308"/>
      <c r="I10" s="308"/>
      <c r="J10" s="308"/>
    </row>
    <row r="11" spans="2:10" ht="22.5" customHeight="1" x14ac:dyDescent="0.2">
      <c r="B11" s="313"/>
      <c r="C11" s="313"/>
      <c r="D11" s="313"/>
      <c r="E11" s="313"/>
      <c r="F11" s="313"/>
      <c r="G11" s="313"/>
      <c r="H11" s="313"/>
      <c r="I11" s="313"/>
      <c r="J11" s="313"/>
    </row>
    <row r="12" spans="2:10" ht="22.5" customHeight="1" x14ac:dyDescent="0.2">
      <c r="B12" s="313"/>
      <c r="C12" s="313"/>
      <c r="D12" s="421" t="s">
        <v>224</v>
      </c>
      <c r="E12" s="421" t="s">
        <v>225</v>
      </c>
      <c r="F12" s="421" t="s">
        <v>226</v>
      </c>
      <c r="G12" s="421" t="s">
        <v>227</v>
      </c>
      <c r="H12" s="421" t="s">
        <v>228</v>
      </c>
      <c r="I12" s="422" t="s">
        <v>229</v>
      </c>
      <c r="J12" s="525" t="s">
        <v>287</v>
      </c>
    </row>
    <row r="13" spans="2:10" ht="23.25" customHeight="1" x14ac:dyDescent="0.2">
      <c r="B13" s="713" t="s">
        <v>230</v>
      </c>
      <c r="C13" s="714"/>
      <c r="D13" s="276" t="s">
        <v>237</v>
      </c>
      <c r="E13" s="276" t="s">
        <v>237</v>
      </c>
      <c r="F13" s="275">
        <v>1</v>
      </c>
      <c r="G13" s="275">
        <v>0</v>
      </c>
      <c r="H13" s="275">
        <v>3</v>
      </c>
      <c r="I13" s="275">
        <v>0</v>
      </c>
      <c r="J13" s="96">
        <v>3</v>
      </c>
    </row>
    <row r="14" spans="2:10" ht="23.25" customHeight="1" x14ac:dyDescent="0.2">
      <c r="B14" s="423" t="s">
        <v>288</v>
      </c>
      <c r="C14" s="401"/>
      <c r="D14" s="275">
        <v>15</v>
      </c>
      <c r="E14" s="275">
        <v>15</v>
      </c>
      <c r="F14" s="275">
        <v>15</v>
      </c>
      <c r="G14" s="275">
        <v>15</v>
      </c>
      <c r="H14" s="275">
        <v>15</v>
      </c>
      <c r="I14" s="275">
        <v>15</v>
      </c>
      <c r="J14" s="96">
        <v>15</v>
      </c>
    </row>
    <row r="15" spans="2:10" ht="23.25" customHeight="1" x14ac:dyDescent="0.2">
      <c r="B15" s="423" t="s">
        <v>289</v>
      </c>
      <c r="C15" s="401"/>
      <c r="D15" s="275" t="s">
        <v>237</v>
      </c>
      <c r="E15" s="275" t="s">
        <v>237</v>
      </c>
      <c r="F15" s="425">
        <f>F13/F14</f>
        <v>6.6666666666666666E-2</v>
      </c>
      <c r="G15" s="425">
        <f t="shared" ref="G15" si="0">(G13*10)/G14</f>
        <v>0</v>
      </c>
      <c r="H15" s="425">
        <f>(H13/H14)</f>
        <v>0.2</v>
      </c>
      <c r="I15" s="425">
        <f t="shared" ref="I15:J15" si="1">(I13/I14)</f>
        <v>0</v>
      </c>
      <c r="J15" s="425">
        <f t="shared" si="1"/>
        <v>0.2</v>
      </c>
    </row>
    <row r="16" spans="2:10" ht="13.5" x14ac:dyDescent="0.2">
      <c r="B16" s="408" t="s">
        <v>290</v>
      </c>
      <c r="C16" s="409">
        <v>0.25</v>
      </c>
      <c r="D16" s="409">
        <v>0.25</v>
      </c>
      <c r="E16" s="409">
        <v>0.25</v>
      </c>
      <c r="F16" s="409">
        <v>0.25</v>
      </c>
      <c r="G16" s="409">
        <v>0.25</v>
      </c>
      <c r="H16" s="409">
        <v>0.25</v>
      </c>
      <c r="I16" s="409">
        <v>0.25</v>
      </c>
      <c r="J16" s="409">
        <v>0.25</v>
      </c>
    </row>
    <row r="17" spans="2:10" ht="22.5" customHeight="1" x14ac:dyDescent="0.2">
      <c r="B17" s="424" t="s">
        <v>291</v>
      </c>
      <c r="C17" s="179"/>
      <c r="D17" s="179" t="s">
        <v>237</v>
      </c>
      <c r="E17" s="179" t="s">
        <v>237</v>
      </c>
      <c r="F17" s="425">
        <f>F15/F16</f>
        <v>0.26666666666666666</v>
      </c>
      <c r="G17" s="425">
        <f t="shared" ref="G17:J17" si="2">G15/G16</f>
        <v>0</v>
      </c>
      <c r="H17" s="425">
        <f t="shared" si="2"/>
        <v>0.8</v>
      </c>
      <c r="I17" s="425">
        <f t="shared" si="2"/>
        <v>0</v>
      </c>
      <c r="J17" s="425">
        <f t="shared" si="2"/>
        <v>0.8</v>
      </c>
    </row>
    <row r="18" spans="2:10" ht="7.5" customHeight="1" x14ac:dyDescent="0.2">
      <c r="B18" s="8"/>
      <c r="C18" s="8"/>
      <c r="D18" s="8"/>
      <c r="E18" s="8"/>
      <c r="F18" s="8"/>
      <c r="G18" s="9"/>
      <c r="H18" s="9"/>
      <c r="I18" s="9"/>
      <c r="J18" s="9"/>
    </row>
    <row r="19" spans="2:10" ht="22.5" customHeight="1" x14ac:dyDescent="0.2">
      <c r="B19" s="594" t="s">
        <v>233</v>
      </c>
      <c r="C19" s="595"/>
      <c r="D19" s="595"/>
      <c r="E19" s="596"/>
      <c r="F19" s="8"/>
      <c r="G19" s="712" t="s">
        <v>172</v>
      </c>
      <c r="H19" s="684"/>
      <c r="I19" s="684"/>
      <c r="J19" s="684"/>
    </row>
    <row r="20" spans="2:10" ht="22.5" customHeight="1" x14ac:dyDescent="0.2">
      <c r="B20" s="8"/>
      <c r="C20" s="8"/>
      <c r="D20" s="8"/>
      <c r="E20" s="8"/>
      <c r="F20" s="8"/>
      <c r="G20" s="684"/>
      <c r="H20" s="583"/>
      <c r="I20" s="583"/>
      <c r="J20" s="684"/>
    </row>
    <row r="21" spans="2:10" ht="22.5" customHeight="1" x14ac:dyDescent="0.2">
      <c r="B21" s="8"/>
      <c r="C21" s="8"/>
      <c r="D21" s="8"/>
      <c r="E21" s="8"/>
      <c r="F21" s="8"/>
      <c r="G21" s="684"/>
      <c r="H21" s="583"/>
      <c r="I21" s="583"/>
      <c r="J21" s="684"/>
    </row>
    <row r="22" spans="2:10" ht="22.5" customHeight="1" x14ac:dyDescent="0.2">
      <c r="B22" s="8"/>
      <c r="C22" s="8"/>
      <c r="D22" s="8"/>
      <c r="E22" s="8"/>
      <c r="F22" s="8"/>
      <c r="G22" s="684"/>
      <c r="H22" s="583"/>
      <c r="I22" s="583"/>
      <c r="J22" s="684"/>
    </row>
    <row r="23" spans="2:10" ht="22.5" customHeight="1" x14ac:dyDescent="0.2">
      <c r="B23" s="8"/>
      <c r="C23" s="8"/>
      <c r="D23" s="8"/>
      <c r="E23" s="8"/>
      <c r="F23" s="8"/>
      <c r="G23" s="684"/>
      <c r="H23" s="583"/>
      <c r="I23" s="583"/>
      <c r="J23" s="684"/>
    </row>
    <row r="24" spans="2:10" ht="22.5" customHeight="1" x14ac:dyDescent="0.2">
      <c r="B24" s="8"/>
      <c r="C24" s="8"/>
      <c r="D24" s="8"/>
      <c r="E24" s="8"/>
      <c r="F24" s="8"/>
      <c r="G24" s="684"/>
      <c r="H24" s="583"/>
      <c r="I24" s="583"/>
      <c r="J24" s="684"/>
    </row>
    <row r="25" spans="2:10" ht="22.5" customHeight="1" x14ac:dyDescent="0.2">
      <c r="B25" s="8"/>
      <c r="C25" s="8"/>
      <c r="D25" s="8"/>
      <c r="E25" s="8"/>
      <c r="F25" s="8"/>
      <c r="G25" s="684"/>
      <c r="H25" s="583"/>
      <c r="I25" s="583"/>
      <c r="J25" s="684"/>
    </row>
    <row r="26" spans="2:10" ht="22.5" customHeight="1" x14ac:dyDescent="0.2">
      <c r="B26" s="8"/>
      <c r="C26" s="8"/>
      <c r="D26" s="8"/>
      <c r="E26" s="8"/>
      <c r="F26" s="8"/>
      <c r="G26" s="684"/>
      <c r="H26" s="583"/>
      <c r="I26" s="583"/>
      <c r="J26" s="684"/>
    </row>
    <row r="27" spans="2:10" ht="22.5" customHeight="1" x14ac:dyDescent="0.2">
      <c r="B27" s="8"/>
      <c r="C27" s="8"/>
      <c r="D27" s="8"/>
      <c r="E27" s="8"/>
      <c r="F27" s="8"/>
      <c r="G27" s="684"/>
      <c r="H27" s="684"/>
      <c r="I27" s="684"/>
      <c r="J27" s="684"/>
    </row>
    <row r="28" spans="2:10" ht="6" customHeight="1" x14ac:dyDescent="0.2"/>
    <row r="29" spans="2:10" ht="19.5" customHeight="1" x14ac:dyDescent="0.2">
      <c r="H29" s="588" t="s">
        <v>172</v>
      </c>
      <c r="I29" s="589"/>
      <c r="J29" s="589"/>
    </row>
  </sheetData>
  <sheetProtection sheet="1" formatCells="0" formatColumns="0" formatRows="0" insertColumns="0" insertRows="0" insertHyperlinks="0" deleteColumns="0" deleteRows="0" pivotTables="0"/>
  <mergeCells count="20">
    <mergeCell ref="G19:J27"/>
    <mergeCell ref="H29:J29"/>
    <mergeCell ref="B9:J9"/>
    <mergeCell ref="B13:C13"/>
    <mergeCell ref="B19:E19"/>
    <mergeCell ref="B7:C7"/>
    <mergeCell ref="D7:J7"/>
    <mergeCell ref="B5:C5"/>
    <mergeCell ref="D5:E5"/>
    <mergeCell ref="F5:G5"/>
    <mergeCell ref="H5:J5"/>
    <mergeCell ref="B6:C6"/>
    <mergeCell ref="D6:E6"/>
    <mergeCell ref="F6:G6"/>
    <mergeCell ref="B2:D2"/>
    <mergeCell ref="E2:J2"/>
    <mergeCell ref="B4:C4"/>
    <mergeCell ref="D4:E4"/>
    <mergeCell ref="F4:G4"/>
    <mergeCell ref="H4:J4"/>
  </mergeCells>
  <pageMargins left="0.7" right="0.7" top="0.75" bottom="0.75" header="0" footer="0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129AC-E510-4747-98D6-501C92F81B33}">
  <sheetPr>
    <tabColor theme="9" tint="-0.499984740745262"/>
    <pageSetUpPr fitToPage="1"/>
  </sheetPr>
  <dimension ref="B2:J29"/>
  <sheetViews>
    <sheetView showGridLines="0" topLeftCell="A20" workbookViewId="0">
      <selection activeCell="H29" sqref="H29:J29"/>
    </sheetView>
  </sheetViews>
  <sheetFormatPr defaultColWidth="12.5703125" defaultRowHeight="15.75" customHeight="1" x14ac:dyDescent="0.2"/>
  <cols>
    <col min="1" max="1" width="3.42578125" customWidth="1"/>
    <col min="2" max="2" width="14.140625" customWidth="1"/>
    <col min="3" max="9" width="12.5703125" customWidth="1"/>
    <col min="10" max="10" width="17.42578125" bestFit="1" customWidth="1"/>
    <col min="11" max="13" width="8.85546875" customWidth="1"/>
    <col min="14" max="23" width="7.5703125" customWidth="1"/>
  </cols>
  <sheetData>
    <row r="2" spans="2:10" ht="55.5" customHeight="1" x14ac:dyDescent="0.2">
      <c r="B2" s="702"/>
      <c r="C2" s="703"/>
      <c r="D2" s="704"/>
      <c r="E2" s="705" t="s">
        <v>213</v>
      </c>
      <c r="F2" s="703"/>
      <c r="G2" s="703"/>
      <c r="H2" s="703"/>
      <c r="I2" s="703"/>
      <c r="J2" s="704"/>
    </row>
    <row r="3" spans="2:10" ht="22.5" customHeight="1" x14ac:dyDescent="0.2">
      <c r="B3" s="309"/>
      <c r="C3" s="309"/>
      <c r="D3" s="309"/>
      <c r="E3" s="309"/>
      <c r="F3" s="309"/>
      <c r="G3" s="309"/>
      <c r="H3" s="309"/>
      <c r="I3" s="309"/>
      <c r="J3" s="308"/>
    </row>
    <row r="4" spans="2:10" ht="64.5" customHeight="1" x14ac:dyDescent="0.2">
      <c r="B4" s="573" t="s">
        <v>214</v>
      </c>
      <c r="C4" s="706"/>
      <c r="D4" s="707" t="str">
        <f>Índex!B19</f>
        <v>PE1.03_Ind06</v>
      </c>
      <c r="E4" s="704"/>
      <c r="F4" s="573" t="s">
        <v>215</v>
      </c>
      <c r="G4" s="706"/>
      <c r="H4" s="707" t="str">
        <f>Índex!C19</f>
        <v>Percentatge de titulacions extingides en comparació amb la totalitat de titulacions coordinades per la Facultat.</v>
      </c>
      <c r="I4" s="703"/>
      <c r="J4" s="704"/>
    </row>
    <row r="5" spans="2:10" ht="50.25" customHeight="1" x14ac:dyDescent="0.2">
      <c r="B5" s="573" t="s">
        <v>216</v>
      </c>
      <c r="C5" s="706"/>
      <c r="D5" s="597" t="str">
        <f>Índex!F18</f>
        <v>&lt;25%</v>
      </c>
      <c r="E5" s="704"/>
      <c r="F5" s="599" t="s">
        <v>217</v>
      </c>
      <c r="G5" s="706"/>
      <c r="H5" s="708" t="s">
        <v>218</v>
      </c>
      <c r="I5" s="709"/>
      <c r="J5" s="710"/>
    </row>
    <row r="6" spans="2:10" ht="22.5" customHeight="1" x14ac:dyDescent="0.2">
      <c r="B6" s="573" t="s">
        <v>219</v>
      </c>
      <c r="C6" s="706"/>
      <c r="D6" s="707" t="s">
        <v>220</v>
      </c>
      <c r="E6" s="704"/>
      <c r="F6" s="573" t="s">
        <v>221</v>
      </c>
      <c r="G6" s="711"/>
      <c r="H6" s="310" t="str">
        <f>Índex!E19</f>
        <v>Gestor Acadèmic</v>
      </c>
      <c r="I6" s="311"/>
      <c r="J6" s="312"/>
    </row>
    <row r="7" spans="2:10" ht="22.5" customHeight="1" x14ac:dyDescent="0.2">
      <c r="B7" s="573" t="s">
        <v>222</v>
      </c>
      <c r="C7" s="706"/>
      <c r="D7" s="707" t="str">
        <f>Índex!G19</f>
        <v>PE1.03. Creació,  Disseny i Extinció de Titulacions. Mapa de Titulacions</v>
      </c>
      <c r="E7" s="703"/>
      <c r="F7" s="703"/>
      <c r="G7" s="703"/>
      <c r="H7" s="703"/>
      <c r="I7" s="703"/>
      <c r="J7" s="704"/>
    </row>
    <row r="8" spans="2:10" ht="7.5" customHeight="1" x14ac:dyDescent="0.2">
      <c r="B8" s="308"/>
      <c r="C8" s="308"/>
      <c r="D8" s="308"/>
      <c r="E8" s="308"/>
      <c r="F8" s="308"/>
      <c r="G8" s="308"/>
      <c r="H8" s="308"/>
      <c r="I8" s="308"/>
      <c r="J8" s="308"/>
    </row>
    <row r="9" spans="2:10" ht="22.5" customHeight="1" x14ac:dyDescent="0.2">
      <c r="B9" s="573" t="s">
        <v>223</v>
      </c>
      <c r="C9" s="711"/>
      <c r="D9" s="711"/>
      <c r="E9" s="711"/>
      <c r="F9" s="711"/>
      <c r="G9" s="711"/>
      <c r="H9" s="711"/>
      <c r="I9" s="711"/>
      <c r="J9" s="706"/>
    </row>
    <row r="10" spans="2:10" ht="7.5" customHeight="1" x14ac:dyDescent="0.2">
      <c r="B10" s="308"/>
      <c r="C10" s="308"/>
      <c r="D10" s="308"/>
      <c r="E10" s="308"/>
      <c r="F10" s="308"/>
      <c r="G10" s="308"/>
      <c r="H10" s="308"/>
      <c r="I10" s="308"/>
      <c r="J10" s="308"/>
    </row>
    <row r="11" spans="2:10" ht="22.5" customHeight="1" x14ac:dyDescent="0.2">
      <c r="B11" s="313"/>
      <c r="C11" s="313"/>
      <c r="D11" s="313"/>
      <c r="E11" s="313"/>
      <c r="F11" s="313"/>
      <c r="G11" s="313"/>
      <c r="H11" s="313"/>
      <c r="I11" s="313"/>
      <c r="J11" s="313"/>
    </row>
    <row r="12" spans="2:10" ht="22.5" customHeight="1" x14ac:dyDescent="0.2">
      <c r="B12" s="313"/>
      <c r="C12" s="313"/>
      <c r="D12" s="421" t="s">
        <v>224</v>
      </c>
      <c r="E12" s="421" t="s">
        <v>225</v>
      </c>
      <c r="F12" s="421" t="s">
        <v>226</v>
      </c>
      <c r="G12" s="421" t="s">
        <v>227</v>
      </c>
      <c r="H12" s="422" t="s">
        <v>228</v>
      </c>
      <c r="I12" s="431" t="s">
        <v>229</v>
      </c>
      <c r="J12" s="308"/>
    </row>
    <row r="13" spans="2:10" ht="23.25" customHeight="1" x14ac:dyDescent="0.2">
      <c r="B13" s="713" t="s">
        <v>230</v>
      </c>
      <c r="C13" s="714"/>
      <c r="D13" s="276" t="s">
        <v>237</v>
      </c>
      <c r="E13" s="276" t="s">
        <v>237</v>
      </c>
      <c r="F13" s="275" t="s">
        <v>238</v>
      </c>
      <c r="G13" s="275">
        <v>0</v>
      </c>
      <c r="H13" s="426">
        <v>0</v>
      </c>
      <c r="I13" s="275">
        <v>3</v>
      </c>
      <c r="J13" s="308"/>
    </row>
    <row r="14" spans="2:10" ht="23.25" customHeight="1" x14ac:dyDescent="0.2">
      <c r="B14" s="423" t="s">
        <v>288</v>
      </c>
      <c r="C14" s="401"/>
      <c r="D14" s="275">
        <v>15</v>
      </c>
      <c r="E14" s="275">
        <v>15</v>
      </c>
      <c r="F14" s="275">
        <v>15</v>
      </c>
      <c r="G14" s="275">
        <v>15</v>
      </c>
      <c r="H14" s="426">
        <v>15</v>
      </c>
      <c r="I14" s="275">
        <v>15</v>
      </c>
      <c r="J14" s="308"/>
    </row>
    <row r="15" spans="2:10" ht="23.25" customHeight="1" x14ac:dyDescent="0.2">
      <c r="B15" s="423" t="s">
        <v>289</v>
      </c>
      <c r="C15" s="401"/>
      <c r="D15" s="275" t="s">
        <v>237</v>
      </c>
      <c r="E15" s="275" t="s">
        <v>237</v>
      </c>
      <c r="F15" s="425" t="s">
        <v>238</v>
      </c>
      <c r="G15" s="425">
        <f t="shared" ref="G15" si="0">(G13*10)/G14</f>
        <v>0</v>
      </c>
      <c r="H15" s="427">
        <f>(H13/H14)</f>
        <v>0</v>
      </c>
      <c r="I15" s="425">
        <f t="shared" ref="I15" si="1">(I13/I14)</f>
        <v>0.2</v>
      </c>
      <c r="J15" s="428"/>
    </row>
    <row r="16" spans="2:10" ht="13.5" x14ac:dyDescent="0.2">
      <c r="B16" s="408" t="s">
        <v>292</v>
      </c>
      <c r="C16" s="409">
        <v>0.25</v>
      </c>
      <c r="D16" s="409">
        <v>0.25</v>
      </c>
      <c r="E16" s="409">
        <v>0.25</v>
      </c>
      <c r="F16" s="409">
        <v>0.25</v>
      </c>
      <c r="G16" s="409">
        <v>0.25</v>
      </c>
      <c r="H16" s="409">
        <v>0.25</v>
      </c>
      <c r="I16" s="409">
        <v>0.25</v>
      </c>
      <c r="J16" s="429"/>
    </row>
    <row r="17" spans="2:10" ht="22.5" customHeight="1" x14ac:dyDescent="0.2">
      <c r="B17" s="424" t="s">
        <v>240</v>
      </c>
      <c r="C17" s="179"/>
      <c r="D17" s="179" t="s">
        <v>237</v>
      </c>
      <c r="E17" s="179" t="s">
        <v>237</v>
      </c>
      <c r="F17" s="425" t="s">
        <v>238</v>
      </c>
      <c r="G17" s="425">
        <v>1</v>
      </c>
      <c r="H17" s="427">
        <v>1</v>
      </c>
      <c r="I17" s="425">
        <v>1</v>
      </c>
      <c r="J17" s="430"/>
    </row>
    <row r="18" spans="2:10" ht="7.5" customHeight="1" x14ac:dyDescent="0.2">
      <c r="B18" s="8"/>
      <c r="C18" s="8"/>
      <c r="D18" s="8"/>
      <c r="E18" s="8"/>
      <c r="F18" s="8"/>
      <c r="G18" s="9"/>
      <c r="H18" s="9"/>
      <c r="I18" s="9"/>
      <c r="J18" s="9"/>
    </row>
    <row r="19" spans="2:10" ht="22.5" customHeight="1" x14ac:dyDescent="0.2">
      <c r="B19" s="594" t="s">
        <v>233</v>
      </c>
      <c r="C19" s="595"/>
      <c r="D19" s="595"/>
      <c r="E19" s="596"/>
      <c r="F19" s="8"/>
      <c r="G19" s="712" t="s">
        <v>172</v>
      </c>
      <c r="H19" s="684"/>
      <c r="I19" s="684"/>
      <c r="J19" s="684"/>
    </row>
    <row r="20" spans="2:10" ht="22.5" customHeight="1" x14ac:dyDescent="0.2">
      <c r="B20" s="8"/>
      <c r="C20" s="8"/>
      <c r="D20" s="8"/>
      <c r="E20" s="8"/>
      <c r="F20" s="8"/>
      <c r="G20" s="684"/>
      <c r="H20" s="583"/>
      <c r="I20" s="583"/>
      <c r="J20" s="684"/>
    </row>
    <row r="21" spans="2:10" ht="22.5" customHeight="1" x14ac:dyDescent="0.2">
      <c r="B21" s="8"/>
      <c r="C21" s="8"/>
      <c r="D21" s="8"/>
      <c r="E21" s="8"/>
      <c r="F21" s="8"/>
      <c r="G21" s="684"/>
      <c r="H21" s="583"/>
      <c r="I21" s="583"/>
      <c r="J21" s="684"/>
    </row>
    <row r="22" spans="2:10" ht="22.5" customHeight="1" x14ac:dyDescent="0.2">
      <c r="B22" s="8"/>
      <c r="C22" s="8"/>
      <c r="D22" s="8"/>
      <c r="E22" s="8"/>
      <c r="F22" s="8"/>
      <c r="G22" s="684"/>
      <c r="H22" s="583"/>
      <c r="I22" s="583"/>
      <c r="J22" s="684"/>
    </row>
    <row r="23" spans="2:10" ht="22.5" customHeight="1" x14ac:dyDescent="0.2">
      <c r="B23" s="8"/>
      <c r="C23" s="8"/>
      <c r="D23" s="8"/>
      <c r="E23" s="8"/>
      <c r="F23" s="8"/>
      <c r="G23" s="684"/>
      <c r="H23" s="583"/>
      <c r="I23" s="583"/>
      <c r="J23" s="684"/>
    </row>
    <row r="24" spans="2:10" ht="22.5" customHeight="1" x14ac:dyDescent="0.2">
      <c r="B24" s="8"/>
      <c r="C24" s="8"/>
      <c r="D24" s="8"/>
      <c r="E24" s="8"/>
      <c r="F24" s="8"/>
      <c r="G24" s="684"/>
      <c r="H24" s="583"/>
      <c r="I24" s="583"/>
      <c r="J24" s="684"/>
    </row>
    <row r="25" spans="2:10" ht="22.5" customHeight="1" x14ac:dyDescent="0.2">
      <c r="B25" s="8"/>
      <c r="C25" s="8"/>
      <c r="D25" s="8"/>
      <c r="E25" s="8"/>
      <c r="F25" s="8"/>
      <c r="G25" s="684"/>
      <c r="H25" s="583"/>
      <c r="I25" s="583"/>
      <c r="J25" s="684"/>
    </row>
    <row r="26" spans="2:10" ht="22.5" customHeight="1" x14ac:dyDescent="0.2">
      <c r="B26" s="8"/>
      <c r="C26" s="8"/>
      <c r="D26" s="8"/>
      <c r="E26" s="8"/>
      <c r="F26" s="8"/>
      <c r="G26" s="684"/>
      <c r="H26" s="583"/>
      <c r="I26" s="583"/>
      <c r="J26" s="684"/>
    </row>
    <row r="27" spans="2:10" ht="22.5" customHeight="1" x14ac:dyDescent="0.2">
      <c r="B27" s="8"/>
      <c r="C27" s="8"/>
      <c r="D27" s="8"/>
      <c r="E27" s="8"/>
      <c r="F27" s="8"/>
      <c r="G27" s="684"/>
      <c r="H27" s="684"/>
      <c r="I27" s="684"/>
      <c r="J27" s="684"/>
    </row>
    <row r="28" spans="2:10" ht="6" customHeight="1" x14ac:dyDescent="0.2"/>
    <row r="29" spans="2:10" ht="19.5" customHeight="1" x14ac:dyDescent="0.2">
      <c r="H29" s="588" t="s">
        <v>172</v>
      </c>
      <c r="I29" s="589"/>
      <c r="J29" s="589"/>
    </row>
  </sheetData>
  <sheetProtection sheet="1" formatCells="0" formatColumns="0" formatRows="0" insertColumns="0" insertRows="0" insertHyperlinks="0" deleteColumns="0" deleteRows="0" pivotTables="0"/>
  <mergeCells count="20">
    <mergeCell ref="H29:J29"/>
    <mergeCell ref="B7:C7"/>
    <mergeCell ref="D7:J7"/>
    <mergeCell ref="B9:J9"/>
    <mergeCell ref="B13:C13"/>
    <mergeCell ref="B19:E19"/>
    <mergeCell ref="G19:J27"/>
    <mergeCell ref="B5:C5"/>
    <mergeCell ref="D5:E5"/>
    <mergeCell ref="F5:G5"/>
    <mergeCell ref="H5:J5"/>
    <mergeCell ref="B6:C6"/>
    <mergeCell ref="D6:E6"/>
    <mergeCell ref="F6:G6"/>
    <mergeCell ref="B2:D2"/>
    <mergeCell ref="E2:J2"/>
    <mergeCell ref="B4:C4"/>
    <mergeCell ref="D4:E4"/>
    <mergeCell ref="F4:G4"/>
    <mergeCell ref="H4:J4"/>
  </mergeCells>
  <pageMargins left="0.7" right="0.7" top="0.75" bottom="0.75" header="0" footer="0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A37AF-928A-4F19-BCED-3441CC914C45}">
  <sheetPr>
    <tabColor theme="9" tint="-0.499984740745262"/>
    <pageSetUpPr fitToPage="1"/>
  </sheetPr>
  <dimension ref="B2:J29"/>
  <sheetViews>
    <sheetView showGridLines="0" topLeftCell="A11" workbookViewId="0">
      <selection activeCell="G19" sqref="G19:J27"/>
    </sheetView>
  </sheetViews>
  <sheetFormatPr defaultColWidth="12.5703125" defaultRowHeight="15.75" customHeight="1" x14ac:dyDescent="0.2"/>
  <cols>
    <col min="1" max="1" width="3.42578125" customWidth="1"/>
    <col min="2" max="2" width="14.140625" customWidth="1"/>
    <col min="3" max="9" width="12.5703125" customWidth="1"/>
    <col min="10" max="10" width="17.42578125" bestFit="1" customWidth="1"/>
    <col min="11" max="13" width="8.85546875" customWidth="1"/>
    <col min="14" max="23" width="7.5703125" customWidth="1"/>
  </cols>
  <sheetData>
    <row r="2" spans="2:10" ht="55.5" customHeight="1" x14ac:dyDescent="0.2">
      <c r="B2" s="702"/>
      <c r="C2" s="703"/>
      <c r="D2" s="704"/>
      <c r="E2" s="705" t="s">
        <v>213</v>
      </c>
      <c r="F2" s="703"/>
      <c r="G2" s="703"/>
      <c r="H2" s="703"/>
      <c r="I2" s="703"/>
      <c r="J2" s="704"/>
    </row>
    <row r="3" spans="2:10" ht="22.5" customHeight="1" x14ac:dyDescent="0.2">
      <c r="B3" s="309"/>
      <c r="C3" s="309"/>
      <c r="D3" s="309"/>
      <c r="E3" s="309"/>
      <c r="F3" s="309"/>
      <c r="G3" s="309"/>
      <c r="H3" s="309"/>
      <c r="I3" s="309"/>
      <c r="J3" s="308"/>
    </row>
    <row r="4" spans="2:10" ht="64.5" customHeight="1" x14ac:dyDescent="0.2">
      <c r="B4" s="573" t="s">
        <v>214</v>
      </c>
      <c r="C4" s="706"/>
      <c r="D4" s="707" t="str">
        <f>Índex!B20</f>
        <v>PE1.03_Ind07</v>
      </c>
      <c r="E4" s="704"/>
      <c r="F4" s="573" t="s">
        <v>215</v>
      </c>
      <c r="G4" s="706"/>
      <c r="H4" s="707" t="str">
        <f>Índex!C20</f>
        <v>Percentatge de titulacions híbrides coordinades.</v>
      </c>
      <c r="I4" s="703"/>
      <c r="J4" s="704"/>
    </row>
    <row r="5" spans="2:10" ht="50.25" customHeight="1" x14ac:dyDescent="0.2">
      <c r="B5" s="573" t="s">
        <v>216</v>
      </c>
      <c r="C5" s="706"/>
      <c r="D5" s="597" t="str">
        <f>Índex!F20</f>
        <v>&lt;10%</v>
      </c>
      <c r="E5" s="704"/>
      <c r="F5" s="599" t="s">
        <v>217</v>
      </c>
      <c r="G5" s="706"/>
      <c r="H5" s="708" t="s">
        <v>218</v>
      </c>
      <c r="I5" s="709"/>
      <c r="J5" s="710"/>
    </row>
    <row r="6" spans="2:10" ht="22.5" customHeight="1" x14ac:dyDescent="0.2">
      <c r="B6" s="573" t="s">
        <v>219</v>
      </c>
      <c r="C6" s="706"/>
      <c r="D6" s="707" t="s">
        <v>220</v>
      </c>
      <c r="E6" s="704"/>
      <c r="F6" s="573" t="s">
        <v>221</v>
      </c>
      <c r="G6" s="711"/>
      <c r="H6" s="310" t="str">
        <f>Índex!E20</f>
        <v>Gestora de Qualitat</v>
      </c>
      <c r="I6" s="311"/>
      <c r="J6" s="312"/>
    </row>
    <row r="7" spans="2:10" ht="22.5" customHeight="1" x14ac:dyDescent="0.2">
      <c r="B7" s="573" t="s">
        <v>222</v>
      </c>
      <c r="C7" s="706"/>
      <c r="D7" s="707" t="str">
        <f>Índex!G20</f>
        <v>PE1.03. Creació,  Disseny i Extinció de Titulacions. Mapa de Titulacions</v>
      </c>
      <c r="E7" s="703"/>
      <c r="F7" s="703"/>
      <c r="G7" s="703"/>
      <c r="H7" s="703"/>
      <c r="I7" s="703"/>
      <c r="J7" s="704"/>
    </row>
    <row r="8" spans="2:10" ht="7.5" customHeight="1" x14ac:dyDescent="0.2">
      <c r="B8" s="308"/>
      <c r="C8" s="308"/>
      <c r="D8" s="308"/>
      <c r="E8" s="308"/>
      <c r="F8" s="308"/>
      <c r="G8" s="308"/>
      <c r="H8" s="308"/>
      <c r="I8" s="308"/>
      <c r="J8" s="308"/>
    </row>
    <row r="9" spans="2:10" ht="22.5" customHeight="1" x14ac:dyDescent="0.2">
      <c r="B9" s="573" t="s">
        <v>223</v>
      </c>
      <c r="C9" s="711"/>
      <c r="D9" s="711"/>
      <c r="E9" s="711"/>
      <c r="F9" s="711"/>
      <c r="G9" s="711"/>
      <c r="H9" s="711"/>
      <c r="I9" s="711"/>
      <c r="J9" s="706"/>
    </row>
    <row r="10" spans="2:10" ht="7.5" customHeight="1" x14ac:dyDescent="0.2">
      <c r="B10" s="308"/>
      <c r="C10" s="308"/>
      <c r="D10" s="308"/>
      <c r="E10" s="308"/>
      <c r="F10" s="308"/>
      <c r="G10" s="308"/>
      <c r="H10" s="308"/>
      <c r="I10" s="308"/>
      <c r="J10" s="308"/>
    </row>
    <row r="11" spans="2:10" ht="22.5" customHeight="1" x14ac:dyDescent="0.2">
      <c r="B11" s="313"/>
      <c r="C11" s="313"/>
      <c r="D11" s="313"/>
      <c r="E11" s="313"/>
      <c r="F11" s="313"/>
      <c r="G11" s="313"/>
      <c r="H11" s="313"/>
      <c r="I11" s="313"/>
      <c r="J11" s="313"/>
    </row>
    <row r="12" spans="2:10" ht="22.5" customHeight="1" x14ac:dyDescent="0.2">
      <c r="B12" s="313"/>
      <c r="C12" s="313"/>
      <c r="D12" s="421" t="s">
        <v>224</v>
      </c>
      <c r="E12" s="421" t="s">
        <v>225</v>
      </c>
      <c r="F12" s="421" t="s">
        <v>226</v>
      </c>
      <c r="G12" s="421" t="s">
        <v>227</v>
      </c>
      <c r="H12" s="422" t="s">
        <v>228</v>
      </c>
      <c r="I12" s="431" t="s">
        <v>229</v>
      </c>
      <c r="J12" s="308"/>
    </row>
    <row r="13" spans="2:10" ht="23.25" customHeight="1" x14ac:dyDescent="0.2">
      <c r="B13" s="713" t="s">
        <v>230</v>
      </c>
      <c r="C13" s="714"/>
      <c r="D13" s="276" t="s">
        <v>237</v>
      </c>
      <c r="E13" s="276" t="s">
        <v>237</v>
      </c>
      <c r="F13" s="275" t="s">
        <v>238</v>
      </c>
      <c r="G13" s="275">
        <v>0</v>
      </c>
      <c r="H13" s="426">
        <v>0</v>
      </c>
      <c r="I13" s="275">
        <v>1</v>
      </c>
      <c r="J13" s="308"/>
    </row>
    <row r="14" spans="2:10" ht="23.25" customHeight="1" x14ac:dyDescent="0.2">
      <c r="B14" s="423" t="s">
        <v>288</v>
      </c>
      <c r="C14" s="401"/>
      <c r="D14" s="275">
        <v>15</v>
      </c>
      <c r="E14" s="275">
        <v>15</v>
      </c>
      <c r="F14" s="275">
        <v>15</v>
      </c>
      <c r="G14" s="275">
        <v>15</v>
      </c>
      <c r="H14" s="426">
        <v>15</v>
      </c>
      <c r="I14" s="275">
        <v>15</v>
      </c>
      <c r="J14" s="308"/>
    </row>
    <row r="15" spans="2:10" ht="23.25" customHeight="1" x14ac:dyDescent="0.2">
      <c r="B15" s="423" t="s">
        <v>289</v>
      </c>
      <c r="C15" s="401"/>
      <c r="D15" s="275" t="s">
        <v>237</v>
      </c>
      <c r="E15" s="275" t="s">
        <v>237</v>
      </c>
      <c r="F15" s="425" t="s">
        <v>238</v>
      </c>
      <c r="G15" s="425">
        <f t="shared" ref="G15" si="0">(G13*10)/G14</f>
        <v>0</v>
      </c>
      <c r="H15" s="427">
        <f>(H13/H14)</f>
        <v>0</v>
      </c>
      <c r="I15" s="425">
        <f t="shared" ref="I15" si="1">(I13/I14)</f>
        <v>6.6666666666666666E-2</v>
      </c>
      <c r="J15" s="428"/>
    </row>
    <row r="16" spans="2:10" ht="13.5" x14ac:dyDescent="0.2">
      <c r="B16" s="408" t="s">
        <v>5</v>
      </c>
      <c r="C16" s="409">
        <v>0.1</v>
      </c>
      <c r="D16" s="409">
        <v>0.1</v>
      </c>
      <c r="E16" s="409">
        <v>0.1</v>
      </c>
      <c r="F16" s="409">
        <v>0.1</v>
      </c>
      <c r="G16" s="409">
        <v>0.1</v>
      </c>
      <c r="H16" s="409">
        <v>0.1</v>
      </c>
      <c r="I16" s="409">
        <v>0.1</v>
      </c>
      <c r="J16" s="429"/>
    </row>
    <row r="17" spans="2:10" ht="22.5" customHeight="1" x14ac:dyDescent="0.2">
      <c r="B17" s="512" t="s">
        <v>240</v>
      </c>
      <c r="C17" s="179"/>
      <c r="D17" s="179" t="s">
        <v>237</v>
      </c>
      <c r="E17" s="179" t="s">
        <v>237</v>
      </c>
      <c r="F17" s="425" t="s">
        <v>238</v>
      </c>
      <c r="G17" s="425">
        <v>1</v>
      </c>
      <c r="H17" s="427">
        <v>1</v>
      </c>
      <c r="I17" s="425">
        <v>1</v>
      </c>
      <c r="J17" s="430"/>
    </row>
    <row r="18" spans="2:10" ht="7.5" customHeight="1" x14ac:dyDescent="0.2">
      <c r="B18" s="8"/>
      <c r="C18" s="8"/>
      <c r="D18" s="8"/>
      <c r="E18" s="8"/>
      <c r="F18" s="8"/>
      <c r="G18" s="9"/>
      <c r="H18" s="9"/>
      <c r="I18" s="9"/>
      <c r="J18" s="9"/>
    </row>
    <row r="19" spans="2:10" ht="22.5" customHeight="1" x14ac:dyDescent="0.2">
      <c r="B19" s="594" t="s">
        <v>233</v>
      </c>
      <c r="C19" s="595"/>
      <c r="D19" s="595"/>
      <c r="E19" s="596"/>
      <c r="F19" s="8"/>
      <c r="G19" s="712" t="s">
        <v>172</v>
      </c>
      <c r="H19" s="684"/>
      <c r="I19" s="684"/>
      <c r="J19" s="684"/>
    </row>
    <row r="20" spans="2:10" ht="22.5" customHeight="1" x14ac:dyDescent="0.2">
      <c r="B20" s="8"/>
      <c r="C20" s="8"/>
      <c r="D20" s="8"/>
      <c r="E20" s="8"/>
      <c r="F20" s="8"/>
      <c r="G20" s="684"/>
      <c r="H20" s="583"/>
      <c r="I20" s="583"/>
      <c r="J20" s="684"/>
    </row>
    <row r="21" spans="2:10" ht="22.5" customHeight="1" x14ac:dyDescent="0.2">
      <c r="B21" s="8"/>
      <c r="C21" s="8"/>
      <c r="D21" s="8"/>
      <c r="E21" s="8"/>
      <c r="F21" s="8"/>
      <c r="G21" s="684"/>
      <c r="H21" s="583"/>
      <c r="I21" s="583"/>
      <c r="J21" s="684"/>
    </row>
    <row r="22" spans="2:10" ht="22.5" customHeight="1" x14ac:dyDescent="0.2">
      <c r="B22" s="8"/>
      <c r="C22" s="8"/>
      <c r="D22" s="8"/>
      <c r="E22" s="8"/>
      <c r="F22" s="8"/>
      <c r="G22" s="684"/>
      <c r="H22" s="583"/>
      <c r="I22" s="583"/>
      <c r="J22" s="684"/>
    </row>
    <row r="23" spans="2:10" ht="22.5" customHeight="1" x14ac:dyDescent="0.2">
      <c r="B23" s="8"/>
      <c r="C23" s="8"/>
      <c r="D23" s="8"/>
      <c r="E23" s="8"/>
      <c r="F23" s="8"/>
      <c r="G23" s="684"/>
      <c r="H23" s="583"/>
      <c r="I23" s="583"/>
      <c r="J23" s="684"/>
    </row>
    <row r="24" spans="2:10" ht="22.5" customHeight="1" x14ac:dyDescent="0.2">
      <c r="B24" s="8"/>
      <c r="C24" s="8"/>
      <c r="D24" s="8"/>
      <c r="E24" s="8"/>
      <c r="F24" s="8"/>
      <c r="G24" s="684"/>
      <c r="H24" s="583"/>
      <c r="I24" s="583"/>
      <c r="J24" s="684"/>
    </row>
    <row r="25" spans="2:10" ht="22.5" customHeight="1" x14ac:dyDescent="0.2">
      <c r="B25" s="8"/>
      <c r="C25" s="8"/>
      <c r="D25" s="8"/>
      <c r="E25" s="8"/>
      <c r="F25" s="8"/>
      <c r="G25" s="684"/>
      <c r="H25" s="583"/>
      <c r="I25" s="583"/>
      <c r="J25" s="684"/>
    </row>
    <row r="26" spans="2:10" ht="22.5" customHeight="1" x14ac:dyDescent="0.2">
      <c r="B26" s="8"/>
      <c r="C26" s="8"/>
      <c r="D26" s="8"/>
      <c r="E26" s="8"/>
      <c r="F26" s="8"/>
      <c r="G26" s="684"/>
      <c r="H26" s="583"/>
      <c r="I26" s="583"/>
      <c r="J26" s="684"/>
    </row>
    <row r="27" spans="2:10" ht="22.5" customHeight="1" x14ac:dyDescent="0.2">
      <c r="B27" s="8"/>
      <c r="C27" s="8"/>
      <c r="D27" s="8"/>
      <c r="E27" s="8"/>
      <c r="F27" s="8"/>
      <c r="G27" s="684"/>
      <c r="H27" s="684"/>
      <c r="I27" s="684"/>
      <c r="J27" s="684"/>
    </row>
    <row r="28" spans="2:10" ht="6" customHeight="1" x14ac:dyDescent="0.2"/>
    <row r="29" spans="2:10" ht="19.5" customHeight="1" x14ac:dyDescent="0.2">
      <c r="H29" s="588" t="s">
        <v>172</v>
      </c>
      <c r="I29" s="589"/>
      <c r="J29" s="589"/>
    </row>
  </sheetData>
  <sheetProtection sheet="1" formatCells="0" formatColumns="0" formatRows="0" insertColumns="0" insertRows="0" insertHyperlinks="0" deleteColumns="0" deleteRows="0" pivotTables="0"/>
  <mergeCells count="20">
    <mergeCell ref="H29:J29"/>
    <mergeCell ref="B7:C7"/>
    <mergeCell ref="D7:J7"/>
    <mergeCell ref="B9:J9"/>
    <mergeCell ref="B13:C13"/>
    <mergeCell ref="B19:E19"/>
    <mergeCell ref="G19:J27"/>
    <mergeCell ref="B5:C5"/>
    <mergeCell ref="D5:E5"/>
    <mergeCell ref="F5:G5"/>
    <mergeCell ref="H5:J5"/>
    <mergeCell ref="B6:C6"/>
    <mergeCell ref="D6:E6"/>
    <mergeCell ref="F6:G6"/>
    <mergeCell ref="B2:D2"/>
    <mergeCell ref="E2:J2"/>
    <mergeCell ref="B4:C4"/>
    <mergeCell ref="D4:E4"/>
    <mergeCell ref="F4:G4"/>
    <mergeCell ref="H4:J4"/>
  </mergeCells>
  <pageMargins left="0.7" right="0.7" top="0.75" bottom="0.75" header="0" footer="0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0E2BF-9543-4326-BFE4-5AA5AC363D27}">
  <sheetPr>
    <tabColor theme="9" tint="-0.499984740745262"/>
    <pageSetUpPr fitToPage="1"/>
  </sheetPr>
  <dimension ref="B2:J45"/>
  <sheetViews>
    <sheetView showGridLines="0" topLeftCell="A27" workbookViewId="0">
      <selection activeCell="I34" sqref="I34"/>
    </sheetView>
  </sheetViews>
  <sheetFormatPr defaultColWidth="12.5703125" defaultRowHeight="15.75" customHeight="1" x14ac:dyDescent="0.2"/>
  <cols>
    <col min="1" max="1" width="3.42578125" customWidth="1"/>
    <col min="2" max="2" width="14.140625" customWidth="1"/>
    <col min="3" max="3" width="12.5703125" customWidth="1"/>
    <col min="4" max="4" width="17.28515625" bestFit="1" customWidth="1"/>
    <col min="5" max="9" width="12.5703125" customWidth="1"/>
    <col min="10" max="10" width="36.28515625" customWidth="1"/>
    <col min="11" max="11" width="8.85546875" customWidth="1"/>
    <col min="12" max="21" width="7.5703125" customWidth="1"/>
  </cols>
  <sheetData>
    <row r="2" spans="2:10" ht="55.5" customHeight="1" x14ac:dyDescent="0.2">
      <c r="B2" s="670"/>
      <c r="C2" s="671"/>
      <c r="D2" s="672"/>
      <c r="E2" s="673" t="s">
        <v>213</v>
      </c>
      <c r="F2" s="671"/>
      <c r="G2" s="671"/>
      <c r="H2" s="671"/>
      <c r="I2" s="671"/>
      <c r="J2" s="672"/>
    </row>
    <row r="3" spans="2:10" ht="22.5" customHeight="1" x14ac:dyDescent="0.2">
      <c r="B3" s="46"/>
      <c r="C3" s="46"/>
      <c r="D3" s="47"/>
      <c r="E3" s="47"/>
      <c r="F3" s="47"/>
      <c r="G3" s="47"/>
      <c r="H3" s="47"/>
      <c r="I3" s="47"/>
    </row>
    <row r="4" spans="2:10" ht="42" customHeight="1" x14ac:dyDescent="0.2">
      <c r="B4" s="594" t="s">
        <v>214</v>
      </c>
      <c r="C4" s="596"/>
      <c r="D4" s="674" t="str">
        <f>Índex!B21</f>
        <v>PC2.01_Ind01</v>
      </c>
      <c r="E4" s="672"/>
      <c r="F4" s="594" t="s">
        <v>215</v>
      </c>
      <c r="G4" s="596"/>
      <c r="H4" s="691" t="str">
        <f>Índex!C21</f>
        <v>Percentatge de guies docents publicades respecte a les assignatures programades</v>
      </c>
      <c r="I4" s="635"/>
      <c r="J4" s="636"/>
    </row>
    <row r="5" spans="2:10" ht="22.5" customHeight="1" x14ac:dyDescent="0.2">
      <c r="B5" s="594" t="s">
        <v>216</v>
      </c>
      <c r="C5" s="596"/>
      <c r="D5" s="730">
        <f>Índex!F21</f>
        <v>1</v>
      </c>
      <c r="E5" s="731"/>
      <c r="F5" s="732" t="s">
        <v>217</v>
      </c>
      <c r="G5" s="595"/>
      <c r="H5" s="733" t="s">
        <v>241</v>
      </c>
      <c r="I5" s="734"/>
      <c r="J5" s="734"/>
    </row>
    <row r="6" spans="2:10" ht="22.5" customHeight="1" x14ac:dyDescent="0.2">
      <c r="B6" s="594" t="s">
        <v>219</v>
      </c>
      <c r="C6" s="596"/>
      <c r="D6" s="674" t="s">
        <v>220</v>
      </c>
      <c r="E6" s="672"/>
      <c r="F6" s="594" t="s">
        <v>242</v>
      </c>
      <c r="G6" s="595"/>
      <c r="H6" s="12" t="str">
        <f>Índex!E21</f>
        <v>Gestor de Programació Docent</v>
      </c>
      <c r="I6" s="17"/>
      <c r="J6" s="17"/>
    </row>
    <row r="7" spans="2:10" ht="22.5" customHeight="1" x14ac:dyDescent="0.2">
      <c r="B7" s="594" t="s">
        <v>222</v>
      </c>
      <c r="C7" s="596"/>
      <c r="D7" s="726" t="str">
        <f>Índex!G21</f>
        <v>PC2.01. Planificació i Programació d’Assignatures. Guies Docents</v>
      </c>
      <c r="E7" s="727"/>
      <c r="F7" s="727"/>
      <c r="G7" s="727"/>
      <c r="H7" s="728"/>
      <c r="I7" s="728"/>
      <c r="J7" s="729"/>
    </row>
    <row r="8" spans="2:10" ht="7.5" customHeight="1" x14ac:dyDescent="0.2"/>
    <row r="9" spans="2:10" ht="22.5" customHeight="1" x14ac:dyDescent="0.2">
      <c r="B9" s="594" t="s">
        <v>223</v>
      </c>
      <c r="C9" s="595"/>
      <c r="D9" s="595"/>
      <c r="E9" s="595"/>
      <c r="F9" s="595"/>
      <c r="G9" s="595"/>
      <c r="H9" s="595"/>
      <c r="I9" s="595"/>
      <c r="J9" s="596"/>
    </row>
    <row r="10" spans="2:10" ht="22.5" customHeight="1" x14ac:dyDescent="0.2">
      <c r="B10" s="14"/>
      <c r="C10" s="13"/>
      <c r="D10" s="13"/>
      <c r="E10" s="13"/>
      <c r="F10" s="13"/>
      <c r="G10" s="13"/>
      <c r="H10" s="13"/>
      <c r="I10" s="13"/>
      <c r="J10" s="13"/>
    </row>
    <row r="11" spans="2:10" ht="22.5" customHeight="1" x14ac:dyDescent="0.2"/>
    <row r="12" spans="2:10" ht="22.5" customHeight="1" x14ac:dyDescent="0.2">
      <c r="B12" s="16"/>
      <c r="C12" s="16"/>
      <c r="D12" s="103" t="s">
        <v>224</v>
      </c>
      <c r="E12" s="103" t="s">
        <v>225</v>
      </c>
      <c r="F12" s="103" t="s">
        <v>226</v>
      </c>
      <c r="G12" s="103" t="s">
        <v>227</v>
      </c>
      <c r="H12" s="103" t="s">
        <v>228</v>
      </c>
      <c r="I12" s="103" t="s">
        <v>229</v>
      </c>
    </row>
    <row r="13" spans="2:10" ht="41.25" customHeight="1" x14ac:dyDescent="0.2">
      <c r="B13" s="695" t="s">
        <v>244</v>
      </c>
      <c r="C13" s="695"/>
      <c r="D13" s="64">
        <v>1.06</v>
      </c>
      <c r="E13" s="64">
        <v>1.06</v>
      </c>
      <c r="F13" s="64">
        <v>1.0900000000000001</v>
      </c>
      <c r="G13" s="64">
        <v>1.04</v>
      </c>
      <c r="H13" s="64">
        <v>1</v>
      </c>
      <c r="I13" s="64">
        <v>1</v>
      </c>
    </row>
    <row r="14" spans="2:10" ht="41.25" customHeight="1" x14ac:dyDescent="0.2">
      <c r="B14" s="695" t="s">
        <v>293</v>
      </c>
      <c r="C14" s="695"/>
      <c r="D14" s="64">
        <v>1.04</v>
      </c>
      <c r="E14" s="64">
        <v>0.98</v>
      </c>
      <c r="F14" s="64">
        <v>1.1399999999999999</v>
      </c>
      <c r="G14" s="64">
        <v>0.97</v>
      </c>
      <c r="H14" s="64">
        <v>1</v>
      </c>
      <c r="I14" s="64">
        <v>0.9</v>
      </c>
    </row>
    <row r="15" spans="2:10" ht="41.25" customHeight="1" x14ac:dyDescent="0.2">
      <c r="B15" s="695" t="s">
        <v>247</v>
      </c>
      <c r="C15" s="695"/>
      <c r="D15" s="64">
        <v>1</v>
      </c>
      <c r="E15" s="64">
        <v>1</v>
      </c>
      <c r="F15" s="64">
        <v>1</v>
      </c>
      <c r="G15" s="64">
        <v>1</v>
      </c>
      <c r="H15" s="64">
        <v>1</v>
      </c>
      <c r="I15" s="64">
        <v>1.02</v>
      </c>
    </row>
    <row r="16" spans="2:10" ht="41.25" customHeight="1" x14ac:dyDescent="0.2">
      <c r="B16" s="695" t="s">
        <v>250</v>
      </c>
      <c r="C16" s="695"/>
      <c r="D16" s="64">
        <v>1.02</v>
      </c>
      <c r="E16" s="64">
        <v>1</v>
      </c>
      <c r="F16" s="64">
        <v>0.86</v>
      </c>
      <c r="G16" s="64">
        <v>0.91</v>
      </c>
      <c r="H16" s="64">
        <v>1</v>
      </c>
      <c r="I16" s="64">
        <v>0.67</v>
      </c>
    </row>
    <row r="17" spans="2:9" ht="41.25" customHeight="1" x14ac:dyDescent="0.2">
      <c r="B17" s="695" t="s">
        <v>252</v>
      </c>
      <c r="C17" s="695"/>
      <c r="D17" s="64">
        <v>0.95</v>
      </c>
      <c r="E17" s="64">
        <v>0.98</v>
      </c>
      <c r="F17" s="64">
        <v>0.84</v>
      </c>
      <c r="G17" s="64">
        <v>0.9</v>
      </c>
      <c r="H17" s="64">
        <v>1</v>
      </c>
      <c r="I17" s="64">
        <v>0.88</v>
      </c>
    </row>
    <row r="18" spans="2:9" ht="43.5" customHeight="1" x14ac:dyDescent="0.2">
      <c r="B18" s="695" t="s">
        <v>294</v>
      </c>
      <c r="C18" s="695"/>
      <c r="D18" s="64">
        <v>1</v>
      </c>
      <c r="E18" s="64">
        <v>0.89</v>
      </c>
      <c r="F18" s="64">
        <v>0.93</v>
      </c>
      <c r="G18" s="64">
        <v>0.98</v>
      </c>
      <c r="H18" s="64">
        <v>0.93</v>
      </c>
      <c r="I18" s="64">
        <v>0.93</v>
      </c>
    </row>
    <row r="19" spans="2:9" ht="29.25" customHeight="1" x14ac:dyDescent="0.2">
      <c r="B19" s="695" t="s">
        <v>254</v>
      </c>
      <c r="C19" s="695"/>
      <c r="D19" s="64">
        <v>1.02</v>
      </c>
      <c r="E19" s="64">
        <v>0.83</v>
      </c>
      <c r="F19" s="64">
        <v>1.07</v>
      </c>
      <c r="G19" s="64">
        <v>1</v>
      </c>
      <c r="H19" s="64">
        <v>1</v>
      </c>
      <c r="I19" s="64">
        <v>0.98</v>
      </c>
    </row>
    <row r="20" spans="2:9" ht="37.5" customHeight="1" x14ac:dyDescent="0.2">
      <c r="B20" s="695" t="s">
        <v>295</v>
      </c>
      <c r="C20" s="695"/>
      <c r="D20" s="44" t="s">
        <v>296</v>
      </c>
      <c r="E20" s="64">
        <v>1</v>
      </c>
      <c r="F20" s="64">
        <v>1</v>
      </c>
      <c r="G20" s="64">
        <v>1</v>
      </c>
      <c r="H20" s="64">
        <v>1</v>
      </c>
      <c r="I20" s="64">
        <v>1</v>
      </c>
    </row>
    <row r="21" spans="2:9" ht="51.75" customHeight="1" x14ac:dyDescent="0.2">
      <c r="B21" s="695" t="s">
        <v>297</v>
      </c>
      <c r="C21" s="695"/>
      <c r="D21" s="64">
        <v>1.06</v>
      </c>
      <c r="E21" s="64">
        <v>1</v>
      </c>
      <c r="F21" s="64">
        <v>1</v>
      </c>
      <c r="G21" s="64">
        <v>1</v>
      </c>
      <c r="H21" s="64">
        <v>1</v>
      </c>
      <c r="I21" s="64">
        <v>1</v>
      </c>
    </row>
    <row r="22" spans="2:9" ht="29.25" customHeight="1" x14ac:dyDescent="0.2">
      <c r="B22" s="695" t="s">
        <v>298</v>
      </c>
      <c r="C22" s="695"/>
      <c r="D22" s="64">
        <v>1</v>
      </c>
      <c r="E22" s="64">
        <v>0.94</v>
      </c>
      <c r="F22" s="64">
        <v>0.93</v>
      </c>
      <c r="G22" s="64">
        <v>0.36</v>
      </c>
      <c r="H22" s="64">
        <v>1</v>
      </c>
      <c r="I22" s="64">
        <v>1</v>
      </c>
    </row>
    <row r="23" spans="2:9" ht="29.25" customHeight="1" x14ac:dyDescent="0.2">
      <c r="B23" s="695" t="s">
        <v>299</v>
      </c>
      <c r="C23" s="695"/>
      <c r="D23" s="64">
        <v>1</v>
      </c>
      <c r="E23" s="64">
        <v>1</v>
      </c>
      <c r="F23" s="64">
        <v>1</v>
      </c>
      <c r="G23" s="64">
        <v>1</v>
      </c>
      <c r="H23" s="64">
        <v>1</v>
      </c>
      <c r="I23" s="64">
        <v>1</v>
      </c>
    </row>
    <row r="24" spans="2:9" ht="48.75" customHeight="1" x14ac:dyDescent="0.2">
      <c r="B24" s="695" t="s">
        <v>300</v>
      </c>
      <c r="C24" s="695"/>
      <c r="D24" s="64">
        <v>1</v>
      </c>
      <c r="E24" s="64">
        <v>1.08</v>
      </c>
      <c r="F24" s="64">
        <v>1</v>
      </c>
      <c r="G24" s="64">
        <v>1</v>
      </c>
      <c r="H24" s="64">
        <v>1</v>
      </c>
      <c r="I24" s="64">
        <v>1</v>
      </c>
    </row>
    <row r="25" spans="2:9" ht="55.5" customHeight="1" x14ac:dyDescent="0.2">
      <c r="B25" s="695" t="s">
        <v>301</v>
      </c>
      <c r="C25" s="695"/>
      <c r="D25" s="64">
        <v>1.1399999999999999</v>
      </c>
      <c r="E25" s="64">
        <v>1</v>
      </c>
      <c r="F25" s="64">
        <v>1</v>
      </c>
      <c r="G25" s="64">
        <v>1.07</v>
      </c>
      <c r="H25" s="64">
        <v>0.86</v>
      </c>
      <c r="I25" s="64">
        <v>1.4</v>
      </c>
    </row>
    <row r="26" spans="2:9" ht="45" customHeight="1" x14ac:dyDescent="0.2">
      <c r="B26" s="695" t="s">
        <v>302</v>
      </c>
      <c r="C26" s="695"/>
      <c r="D26" s="64">
        <v>1</v>
      </c>
      <c r="E26" s="64">
        <v>1</v>
      </c>
      <c r="F26" s="123">
        <v>1</v>
      </c>
      <c r="G26" s="123">
        <v>1</v>
      </c>
      <c r="H26" s="64">
        <v>1</v>
      </c>
      <c r="I26" s="64">
        <v>1</v>
      </c>
    </row>
    <row r="27" spans="2:9" ht="56.25" customHeight="1" x14ac:dyDescent="0.2">
      <c r="B27" s="695" t="s">
        <v>303</v>
      </c>
      <c r="C27" s="695"/>
      <c r="D27" s="64">
        <v>0</v>
      </c>
      <c r="E27" s="64">
        <v>0.67</v>
      </c>
      <c r="F27" s="64">
        <v>1</v>
      </c>
      <c r="G27" s="64">
        <v>0</v>
      </c>
      <c r="H27" s="64" t="s">
        <v>237</v>
      </c>
      <c r="I27" s="64">
        <v>0</v>
      </c>
    </row>
    <row r="28" spans="2:9" ht="22.5" customHeight="1" x14ac:dyDescent="0.25">
      <c r="B28" s="722">
        <f>D30</f>
        <v>1</v>
      </c>
      <c r="C28" s="722"/>
      <c r="D28" s="53">
        <f>COUNTIF(D13:D27,"&gt;=100%")</f>
        <v>12</v>
      </c>
      <c r="E28" s="53">
        <f t="shared" ref="E28:F28" si="0">COUNTIF(E13:E27,"&gt;=100%")</f>
        <v>9</v>
      </c>
      <c r="F28" s="53">
        <f t="shared" si="0"/>
        <v>11</v>
      </c>
      <c r="G28" s="53">
        <f>COUNTIF(G13:G27,"&gt;=100%")</f>
        <v>9</v>
      </c>
      <c r="H28" s="53">
        <f>COUNTIF(H13:H27,"&gt;=100%")</f>
        <v>12</v>
      </c>
      <c r="I28" s="53">
        <f>COUNTIF(I13:I27,"&gt;=100%")</f>
        <v>9</v>
      </c>
    </row>
    <row r="29" spans="2:9" ht="22.5" customHeight="1" x14ac:dyDescent="0.25">
      <c r="B29" s="723" t="s">
        <v>274</v>
      </c>
      <c r="C29" s="723"/>
      <c r="D29" s="53">
        <f t="shared" ref="D29:E29" si="1">COUNT(D13:D27)</f>
        <v>14</v>
      </c>
      <c r="E29" s="53">
        <f t="shared" si="1"/>
        <v>15</v>
      </c>
      <c r="F29" s="53">
        <f>COUNT(F13:F27)</f>
        <v>15</v>
      </c>
      <c r="G29" s="53">
        <f>COUNT(G13:G27)</f>
        <v>15</v>
      </c>
      <c r="H29" s="53">
        <f>COUNT(H13:H27)</f>
        <v>14</v>
      </c>
      <c r="I29" s="53">
        <f>COUNT(I13:I27)</f>
        <v>15</v>
      </c>
    </row>
    <row r="30" spans="2:9" ht="22.5" customHeight="1" x14ac:dyDescent="0.2">
      <c r="B30" s="724" t="s">
        <v>231</v>
      </c>
      <c r="C30" s="725"/>
      <c r="D30" s="124">
        <f>$D5</f>
        <v>1</v>
      </c>
      <c r="E30" s="124">
        <f t="shared" ref="E30:F30" si="2">$D5</f>
        <v>1</v>
      </c>
      <c r="F30" s="124">
        <f t="shared" si="2"/>
        <v>1</v>
      </c>
      <c r="G30" s="124">
        <f>$D5</f>
        <v>1</v>
      </c>
      <c r="H30" s="124">
        <f>$D5</f>
        <v>1</v>
      </c>
      <c r="I30" s="124">
        <f>$D5</f>
        <v>1</v>
      </c>
    </row>
    <row r="31" spans="2:9" ht="22.5" customHeight="1" x14ac:dyDescent="0.2">
      <c r="B31" s="724" t="s">
        <v>232</v>
      </c>
      <c r="C31" s="725"/>
      <c r="D31" s="59">
        <f t="shared" ref="D31:I31" si="3">D28/D29</f>
        <v>0.8571428571428571</v>
      </c>
      <c r="E31" s="106">
        <f t="shared" si="3"/>
        <v>0.6</v>
      </c>
      <c r="F31" s="59">
        <f t="shared" si="3"/>
        <v>0.73333333333333328</v>
      </c>
      <c r="G31" s="106">
        <f t="shared" si="3"/>
        <v>0.6</v>
      </c>
      <c r="H31" s="59">
        <f t="shared" si="3"/>
        <v>0.8571428571428571</v>
      </c>
      <c r="I31" s="106">
        <f t="shared" si="3"/>
        <v>0.6</v>
      </c>
    </row>
    <row r="33" spans="2:10" ht="22.5" customHeight="1" x14ac:dyDescent="0.2">
      <c r="B33" s="594" t="s">
        <v>233</v>
      </c>
      <c r="C33" s="595"/>
      <c r="D33" s="595"/>
      <c r="E33" s="596"/>
      <c r="F33" s="8"/>
      <c r="G33" s="594" t="s">
        <v>234</v>
      </c>
      <c r="H33" s="595"/>
      <c r="I33" s="595"/>
      <c r="J33" s="596"/>
    </row>
    <row r="34" spans="2:10" ht="22.5" customHeight="1" x14ac:dyDescent="0.2">
      <c r="B34" s="8"/>
      <c r="C34" s="8"/>
      <c r="D34" s="8"/>
      <c r="E34" s="8"/>
      <c r="F34" s="8"/>
      <c r="G34" s="9"/>
      <c r="H34" s="9"/>
      <c r="I34" s="9"/>
      <c r="J34" s="9"/>
    </row>
    <row r="35" spans="2:10" ht="6" customHeight="1" x14ac:dyDescent="0.2">
      <c r="B35" s="8"/>
      <c r="C35" s="8"/>
      <c r="D35" s="8"/>
      <c r="E35" s="8"/>
      <c r="F35" s="8"/>
      <c r="G35" s="715" t="s">
        <v>172</v>
      </c>
      <c r="H35" s="680"/>
      <c r="I35" s="680"/>
      <c r="J35" s="681"/>
    </row>
    <row r="36" spans="2:10" ht="19.5" customHeight="1" x14ac:dyDescent="0.2">
      <c r="B36" s="8"/>
      <c r="C36" s="8"/>
      <c r="D36" s="8"/>
      <c r="E36" s="8"/>
      <c r="F36" s="8"/>
      <c r="G36" s="716"/>
      <c r="H36" s="717"/>
      <c r="I36" s="717"/>
      <c r="J36" s="718"/>
    </row>
    <row r="37" spans="2:10" ht="19.5" customHeight="1" x14ac:dyDescent="0.2">
      <c r="B37" s="8"/>
      <c r="C37" s="8"/>
      <c r="D37" s="8"/>
      <c r="E37" s="8"/>
      <c r="F37" s="8"/>
      <c r="G37" s="716"/>
      <c r="H37" s="717"/>
      <c r="I37" s="717"/>
      <c r="J37" s="718"/>
    </row>
    <row r="38" spans="2:10" ht="19.5" customHeight="1" x14ac:dyDescent="0.2">
      <c r="B38" s="8"/>
      <c r="C38" s="8"/>
      <c r="D38" s="8"/>
      <c r="E38" s="8"/>
      <c r="F38" s="8"/>
      <c r="G38" s="716"/>
      <c r="H38" s="717"/>
      <c r="I38" s="717"/>
      <c r="J38" s="718"/>
    </row>
    <row r="39" spans="2:10" ht="19.5" customHeight="1" x14ac:dyDescent="0.2">
      <c r="B39" s="8"/>
      <c r="C39" s="8"/>
      <c r="D39" s="8"/>
      <c r="E39" s="8"/>
      <c r="F39" s="8"/>
      <c r="G39" s="716"/>
      <c r="H39" s="717"/>
      <c r="I39" s="717"/>
      <c r="J39" s="718"/>
    </row>
    <row r="40" spans="2:10" ht="19.5" customHeight="1" x14ac:dyDescent="0.2">
      <c r="B40" s="8"/>
      <c r="C40" s="8"/>
      <c r="D40" s="8"/>
      <c r="E40" s="8"/>
      <c r="F40" s="8"/>
      <c r="G40" s="716"/>
      <c r="H40" s="717"/>
      <c r="I40" s="717"/>
      <c r="J40" s="718"/>
    </row>
    <row r="41" spans="2:10" ht="19.5" customHeight="1" x14ac:dyDescent="0.2">
      <c r="B41" s="8"/>
      <c r="C41" s="8"/>
      <c r="D41" s="8"/>
      <c r="E41" s="8"/>
      <c r="F41" s="8"/>
      <c r="G41" s="716"/>
      <c r="H41" s="717"/>
      <c r="I41" s="717"/>
      <c r="J41" s="718"/>
    </row>
    <row r="42" spans="2:10" ht="19.5" customHeight="1" x14ac:dyDescent="0.2">
      <c r="B42" s="8"/>
      <c r="C42" s="8"/>
      <c r="D42" s="8"/>
      <c r="E42" s="8"/>
      <c r="F42" s="8"/>
      <c r="G42" s="716"/>
      <c r="H42" s="717"/>
      <c r="I42" s="717"/>
      <c r="J42" s="718"/>
    </row>
    <row r="43" spans="2:10" ht="19.5" customHeight="1" x14ac:dyDescent="0.2">
      <c r="B43" s="8"/>
      <c r="C43" s="8"/>
      <c r="D43" s="8"/>
      <c r="E43" s="8"/>
      <c r="F43" s="8"/>
      <c r="G43" s="719"/>
      <c r="H43" s="720"/>
      <c r="I43" s="720"/>
      <c r="J43" s="721"/>
    </row>
    <row r="44" spans="2:10" ht="19.5" customHeight="1" x14ac:dyDescent="0.2"/>
    <row r="45" spans="2:10" ht="19.5" customHeight="1" x14ac:dyDescent="0.2">
      <c r="H45" s="588" t="s">
        <v>172</v>
      </c>
      <c r="I45" s="589"/>
      <c r="J45" s="589"/>
    </row>
  </sheetData>
  <sheetProtection sheet="1" formatCells="0" formatColumns="0" formatRows="0" insertColumns="0" insertRows="0" insertHyperlinks="0" deleteColumns="0" deleteRows="0" pivotTables="0"/>
  <mergeCells count="39">
    <mergeCell ref="B2:D2"/>
    <mergeCell ref="E2:J2"/>
    <mergeCell ref="B4:C4"/>
    <mergeCell ref="D4:E4"/>
    <mergeCell ref="F4:G4"/>
    <mergeCell ref="H4:J4"/>
    <mergeCell ref="B5:C5"/>
    <mergeCell ref="D5:E5"/>
    <mergeCell ref="F5:G5"/>
    <mergeCell ref="H5:J5"/>
    <mergeCell ref="B6:C6"/>
    <mergeCell ref="D6:E6"/>
    <mergeCell ref="F6:G6"/>
    <mergeCell ref="B23:C23"/>
    <mergeCell ref="B27:C27"/>
    <mergeCell ref="B9:J9"/>
    <mergeCell ref="B7:C7"/>
    <mergeCell ref="D7:J7"/>
    <mergeCell ref="B18:C18"/>
    <mergeCell ref="B19:C19"/>
    <mergeCell ref="B20:C20"/>
    <mergeCell ref="B21:C21"/>
    <mergeCell ref="B22:C22"/>
    <mergeCell ref="G35:J43"/>
    <mergeCell ref="H45:J45"/>
    <mergeCell ref="B13:C13"/>
    <mergeCell ref="B14:C14"/>
    <mergeCell ref="B15:C15"/>
    <mergeCell ref="B16:C16"/>
    <mergeCell ref="B17:C17"/>
    <mergeCell ref="B24:C24"/>
    <mergeCell ref="B25:C25"/>
    <mergeCell ref="B26:C26"/>
    <mergeCell ref="B28:C28"/>
    <mergeCell ref="B29:C29"/>
    <mergeCell ref="B30:C30"/>
    <mergeCell ref="B31:C31"/>
    <mergeCell ref="B33:E33"/>
    <mergeCell ref="G33:J33"/>
  </mergeCells>
  <pageMargins left="0.7" right="0.7" top="0.75" bottom="0.75" header="0" footer="0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18D89-FCB1-4B0C-9453-F5DF9DC559C6}">
  <sheetPr>
    <tabColor theme="9" tint="-0.499984740745262"/>
    <pageSetUpPr fitToPage="1"/>
  </sheetPr>
  <dimension ref="B2:N48"/>
  <sheetViews>
    <sheetView showGridLines="0" topLeftCell="A31" workbookViewId="0">
      <selection activeCell="J37" sqref="J37"/>
    </sheetView>
  </sheetViews>
  <sheetFormatPr defaultColWidth="12.5703125" defaultRowHeight="15.75" customHeight="1" x14ac:dyDescent="0.2"/>
  <cols>
    <col min="1" max="1" width="3.42578125" customWidth="1"/>
    <col min="2" max="2" width="14.140625" customWidth="1"/>
    <col min="3" max="3" width="12.5703125" customWidth="1"/>
    <col min="4" max="4" width="17.28515625" bestFit="1" customWidth="1"/>
    <col min="5" max="9" width="12.5703125" customWidth="1"/>
    <col min="10" max="10" width="36.28515625" customWidth="1"/>
    <col min="11" max="11" width="8.85546875" customWidth="1"/>
    <col min="12" max="21" width="7.5703125" customWidth="1"/>
  </cols>
  <sheetData>
    <row r="2" spans="2:10" ht="55.5" customHeight="1" x14ac:dyDescent="0.2">
      <c r="B2" s="670"/>
      <c r="C2" s="671"/>
      <c r="D2" s="672"/>
      <c r="E2" s="673" t="s">
        <v>213</v>
      </c>
      <c r="F2" s="671"/>
      <c r="G2" s="671"/>
      <c r="H2" s="671"/>
      <c r="I2" s="671"/>
      <c r="J2" s="672"/>
    </row>
    <row r="3" spans="2:10" ht="22.5" customHeight="1" x14ac:dyDescent="0.2">
      <c r="B3" s="46"/>
      <c r="C3" s="46"/>
      <c r="D3" s="47"/>
      <c r="E3" s="47"/>
      <c r="F3" s="47"/>
      <c r="G3" s="47"/>
      <c r="H3" s="47"/>
      <c r="I3" s="47"/>
    </row>
    <row r="4" spans="2:10" ht="42" customHeight="1" x14ac:dyDescent="0.2">
      <c r="B4" s="594" t="s">
        <v>214</v>
      </c>
      <c r="C4" s="596"/>
      <c r="D4" s="674" t="str">
        <f>Índex!B22</f>
        <v>PC2.01_Ind02</v>
      </c>
      <c r="E4" s="672"/>
      <c r="F4" s="594" t="s">
        <v>215</v>
      </c>
      <c r="G4" s="595"/>
      <c r="H4" s="737" t="str">
        <f>Índex!C22</f>
        <v xml:space="preserve">Percentatge d’hores de docència impartides per PDI amb títol de Doctor </v>
      </c>
      <c r="I4" s="735"/>
      <c r="J4" s="735"/>
    </row>
    <row r="5" spans="2:10" ht="22.5" customHeight="1" x14ac:dyDescent="0.2">
      <c r="B5" s="594" t="s">
        <v>216</v>
      </c>
      <c r="C5" s="596"/>
      <c r="D5" s="736" t="str">
        <f>Índex!F22</f>
        <v>≥70%</v>
      </c>
      <c r="E5" s="672"/>
      <c r="F5" s="732" t="s">
        <v>217</v>
      </c>
      <c r="G5" s="595"/>
      <c r="H5" s="733" t="s">
        <v>241</v>
      </c>
      <c r="I5" s="734"/>
      <c r="J5" s="734"/>
    </row>
    <row r="6" spans="2:10" ht="22.5" customHeight="1" x14ac:dyDescent="0.2">
      <c r="B6" s="594" t="s">
        <v>219</v>
      </c>
      <c r="C6" s="596"/>
      <c r="D6" s="674" t="s">
        <v>220</v>
      </c>
      <c r="E6" s="672"/>
      <c r="F6" s="594" t="s">
        <v>242</v>
      </c>
      <c r="G6" s="595"/>
      <c r="H6" s="12" t="str">
        <f>Índex!E22</f>
        <v>Gestora de Qualitat</v>
      </c>
      <c r="I6" s="39"/>
      <c r="J6" s="19"/>
    </row>
    <row r="7" spans="2:10" ht="22.5" customHeight="1" x14ac:dyDescent="0.2">
      <c r="B7" s="594" t="s">
        <v>222</v>
      </c>
      <c r="C7" s="596"/>
      <c r="D7" s="674" t="str">
        <f>Índex!G22</f>
        <v>PC2.01. Planificació i Programació d’Assignatures. Guies Docents</v>
      </c>
      <c r="E7" s="671"/>
      <c r="F7" s="671"/>
      <c r="G7" s="671"/>
      <c r="H7" s="641"/>
      <c r="I7" s="641"/>
      <c r="J7" s="642"/>
    </row>
    <row r="8" spans="2:10" ht="7.5" customHeight="1" x14ac:dyDescent="0.2"/>
    <row r="9" spans="2:10" ht="22.5" customHeight="1" x14ac:dyDescent="0.2">
      <c r="B9" s="594" t="s">
        <v>223</v>
      </c>
      <c r="C9" s="595"/>
      <c r="D9" s="595"/>
      <c r="E9" s="595"/>
      <c r="F9" s="595"/>
      <c r="G9" s="595"/>
      <c r="H9" s="595"/>
      <c r="I9" s="595"/>
      <c r="J9" s="596"/>
    </row>
    <row r="10" spans="2:10" ht="22.5" customHeight="1" x14ac:dyDescent="0.2">
      <c r="B10" s="14"/>
      <c r="C10" s="13"/>
      <c r="D10" s="13"/>
      <c r="E10" s="13"/>
      <c r="F10" s="13"/>
      <c r="G10" s="13"/>
      <c r="H10" s="13"/>
      <c r="I10" s="13"/>
      <c r="J10" s="13"/>
    </row>
    <row r="11" spans="2:10" ht="22.5" customHeight="1" x14ac:dyDescent="0.2"/>
    <row r="12" spans="2:10" ht="22.5" customHeight="1" x14ac:dyDescent="0.2">
      <c r="B12" s="16"/>
      <c r="C12" s="16"/>
      <c r="D12" s="105" t="s">
        <v>224</v>
      </c>
      <c r="E12" s="105" t="s">
        <v>225</v>
      </c>
      <c r="F12" s="105" t="s">
        <v>226</v>
      </c>
      <c r="G12" s="105" t="s">
        <v>227</v>
      </c>
      <c r="H12" s="105" t="s">
        <v>228</v>
      </c>
      <c r="I12" s="105" t="s">
        <v>229</v>
      </c>
    </row>
    <row r="13" spans="2:10" ht="41.25" customHeight="1" x14ac:dyDescent="0.2">
      <c r="B13" s="695" t="s">
        <v>244</v>
      </c>
      <c r="C13" s="695"/>
      <c r="D13" s="75">
        <v>0.86799999999999999</v>
      </c>
      <c r="E13" s="97">
        <v>0.79</v>
      </c>
      <c r="F13" s="97">
        <v>0.78</v>
      </c>
      <c r="G13" s="97">
        <v>0.76</v>
      </c>
      <c r="H13" s="98">
        <v>0.751</v>
      </c>
      <c r="I13" s="97">
        <v>0.74</v>
      </c>
    </row>
    <row r="14" spans="2:10" ht="41.25" customHeight="1" x14ac:dyDescent="0.2">
      <c r="B14" s="695" t="s">
        <v>293</v>
      </c>
      <c r="C14" s="695"/>
      <c r="D14" s="64">
        <v>0.68</v>
      </c>
      <c r="E14" s="97">
        <v>0.71</v>
      </c>
      <c r="F14" s="97">
        <v>0.7</v>
      </c>
      <c r="G14" s="97">
        <v>0.7</v>
      </c>
      <c r="H14" s="98">
        <v>0.72189999999999999</v>
      </c>
      <c r="I14" s="513">
        <v>0.68</v>
      </c>
    </row>
    <row r="15" spans="2:10" ht="41.25" customHeight="1" x14ac:dyDescent="0.2">
      <c r="B15" s="695" t="s">
        <v>250</v>
      </c>
      <c r="C15" s="695"/>
      <c r="D15" s="64">
        <v>0.85</v>
      </c>
      <c r="E15" s="97">
        <v>0.86</v>
      </c>
      <c r="F15" s="97">
        <v>0.82</v>
      </c>
      <c r="G15" s="97">
        <v>0.81</v>
      </c>
      <c r="H15" s="98">
        <v>0.78359999999999996</v>
      </c>
      <c r="I15" s="97">
        <v>0.87</v>
      </c>
    </row>
    <row r="16" spans="2:10" ht="41.25" customHeight="1" x14ac:dyDescent="0.2">
      <c r="B16" s="695" t="s">
        <v>247</v>
      </c>
      <c r="C16" s="695"/>
      <c r="D16" s="64">
        <v>0.9</v>
      </c>
      <c r="E16" s="98">
        <v>0.90400000000000003</v>
      </c>
      <c r="F16" s="96" t="s">
        <v>304</v>
      </c>
      <c r="G16" s="97">
        <v>0.87</v>
      </c>
      <c r="H16" s="98">
        <v>0.89190000000000003</v>
      </c>
      <c r="I16" s="97">
        <v>0.91</v>
      </c>
    </row>
    <row r="17" spans="2:9" ht="41.25" customHeight="1" x14ac:dyDescent="0.2">
      <c r="B17" s="695" t="s">
        <v>252</v>
      </c>
      <c r="C17" s="695"/>
      <c r="D17" s="64">
        <v>0.88</v>
      </c>
      <c r="E17" s="97">
        <v>0.94</v>
      </c>
      <c r="F17" s="97">
        <v>0.94</v>
      </c>
      <c r="G17" s="97">
        <v>0.95</v>
      </c>
      <c r="H17" s="98">
        <v>0.93440000000000001</v>
      </c>
      <c r="I17" s="97">
        <v>0.93</v>
      </c>
    </row>
    <row r="18" spans="2:9" ht="41.25" customHeight="1" x14ac:dyDescent="0.2">
      <c r="B18" s="695" t="s">
        <v>254</v>
      </c>
      <c r="C18" s="695"/>
      <c r="D18" s="64">
        <v>0.83</v>
      </c>
      <c r="E18" s="97">
        <v>0.83</v>
      </c>
      <c r="F18" s="97">
        <v>0.86</v>
      </c>
      <c r="G18" s="97">
        <v>0.81</v>
      </c>
      <c r="H18" s="98">
        <v>0.78129999999999999</v>
      </c>
      <c r="I18" s="97">
        <v>0.79</v>
      </c>
    </row>
    <row r="19" spans="2:9" ht="41.25" customHeight="1" x14ac:dyDescent="0.2">
      <c r="B19" s="695" t="s">
        <v>295</v>
      </c>
      <c r="C19" s="695"/>
      <c r="D19" s="44" t="s">
        <v>296</v>
      </c>
      <c r="E19" s="97">
        <v>1</v>
      </c>
      <c r="F19" s="97">
        <v>0.94</v>
      </c>
      <c r="G19" s="97">
        <v>0.88</v>
      </c>
      <c r="H19" s="98">
        <v>0.84130000000000005</v>
      </c>
      <c r="I19" s="97">
        <v>0.86</v>
      </c>
    </row>
    <row r="20" spans="2:9" ht="43.5" customHeight="1" x14ac:dyDescent="0.2">
      <c r="B20" s="695" t="s">
        <v>294</v>
      </c>
      <c r="C20" s="695"/>
      <c r="D20" s="64">
        <v>0.83</v>
      </c>
      <c r="E20" s="97">
        <v>0.81</v>
      </c>
      <c r="F20" s="97">
        <v>0.86</v>
      </c>
      <c r="G20" s="97">
        <v>0.84</v>
      </c>
      <c r="H20" s="97">
        <v>0.85</v>
      </c>
      <c r="I20" s="97">
        <v>0.83</v>
      </c>
    </row>
    <row r="21" spans="2:9" ht="29.25" customHeight="1" x14ac:dyDescent="0.2">
      <c r="B21" s="695" t="s">
        <v>305</v>
      </c>
      <c r="C21" s="695"/>
      <c r="D21" s="64">
        <v>0.86</v>
      </c>
      <c r="E21" s="97">
        <v>0.82</v>
      </c>
      <c r="F21" s="97">
        <v>0.79</v>
      </c>
      <c r="G21" s="97">
        <v>0.75</v>
      </c>
      <c r="H21" s="98">
        <v>0.75890000000000002</v>
      </c>
      <c r="I21" s="98" t="s">
        <v>237</v>
      </c>
    </row>
    <row r="22" spans="2:9" ht="37.5" customHeight="1" x14ac:dyDescent="0.2">
      <c r="B22" s="695" t="s">
        <v>306</v>
      </c>
      <c r="C22" s="695"/>
      <c r="D22" s="64">
        <v>0.96</v>
      </c>
      <c r="E22" s="97">
        <v>0.94</v>
      </c>
      <c r="F22" s="97">
        <v>0.94</v>
      </c>
      <c r="G22" s="97">
        <v>0.93</v>
      </c>
      <c r="H22" s="98">
        <v>0.93269999999999997</v>
      </c>
      <c r="I22" s="98" t="s">
        <v>237</v>
      </c>
    </row>
    <row r="23" spans="2:9" ht="37.5" customHeight="1" x14ac:dyDescent="0.2">
      <c r="B23" s="695" t="s">
        <v>307</v>
      </c>
      <c r="C23" s="695"/>
      <c r="D23" s="64">
        <v>0.85</v>
      </c>
      <c r="E23" s="97">
        <v>0.87</v>
      </c>
      <c r="F23" s="97">
        <v>0.9</v>
      </c>
      <c r="G23" s="97">
        <v>0.96</v>
      </c>
      <c r="H23" s="98">
        <v>0.80759999999999998</v>
      </c>
      <c r="I23" s="98" t="s">
        <v>237</v>
      </c>
    </row>
    <row r="24" spans="2:9" ht="51.75" customHeight="1" x14ac:dyDescent="0.2">
      <c r="B24" s="695" t="s">
        <v>297</v>
      </c>
      <c r="C24" s="695"/>
      <c r="D24" s="75">
        <v>0.91500000000000004</v>
      </c>
      <c r="E24" s="97">
        <v>0.88</v>
      </c>
      <c r="F24" s="97">
        <v>0.9</v>
      </c>
      <c r="G24" s="98">
        <v>0.89800000000000002</v>
      </c>
      <c r="H24" s="97">
        <v>0.93</v>
      </c>
      <c r="I24" s="97">
        <v>0.88</v>
      </c>
    </row>
    <row r="25" spans="2:9" ht="29.25" customHeight="1" x14ac:dyDescent="0.2">
      <c r="B25" s="695" t="s">
        <v>298</v>
      </c>
      <c r="C25" s="695"/>
      <c r="D25" s="75">
        <v>0.995</v>
      </c>
      <c r="E25" s="98">
        <v>0.86199999999999999</v>
      </c>
      <c r="F25" s="98">
        <v>0.88400000000000001</v>
      </c>
      <c r="G25" s="98">
        <v>0.89500000000000002</v>
      </c>
      <c r="H25" s="98">
        <v>0.99950000000000006</v>
      </c>
      <c r="I25" s="97">
        <v>0.77</v>
      </c>
    </row>
    <row r="26" spans="2:9" ht="29.25" customHeight="1" x14ac:dyDescent="0.2">
      <c r="B26" s="695" t="s">
        <v>299</v>
      </c>
      <c r="C26" s="695"/>
      <c r="D26" s="97">
        <v>1</v>
      </c>
      <c r="E26" s="97">
        <v>1</v>
      </c>
      <c r="F26" s="97">
        <v>1</v>
      </c>
      <c r="G26" s="98">
        <v>0.98599999999999999</v>
      </c>
      <c r="H26" s="98" t="s">
        <v>308</v>
      </c>
      <c r="I26" s="97">
        <v>1</v>
      </c>
    </row>
    <row r="27" spans="2:9" ht="48.75" customHeight="1" x14ac:dyDescent="0.2">
      <c r="B27" s="695" t="s">
        <v>300</v>
      </c>
      <c r="C27" s="695"/>
      <c r="D27" s="75">
        <v>0.96599999999999997</v>
      </c>
      <c r="E27" s="97">
        <v>1</v>
      </c>
      <c r="F27" s="98">
        <v>0.95599999999999996</v>
      </c>
      <c r="G27" s="98">
        <v>0.97699999999999998</v>
      </c>
      <c r="H27" s="98">
        <v>0.97499999999999998</v>
      </c>
      <c r="I27" s="97">
        <v>0.96</v>
      </c>
    </row>
    <row r="28" spans="2:9" ht="55.5" customHeight="1" x14ac:dyDescent="0.2">
      <c r="B28" s="695" t="s">
        <v>301</v>
      </c>
      <c r="C28" s="695"/>
      <c r="D28" s="98">
        <v>0.96299999999999997</v>
      </c>
      <c r="E28" s="98">
        <v>0.93100000000000005</v>
      </c>
      <c r="F28" s="97">
        <v>0.97</v>
      </c>
      <c r="G28" s="97">
        <v>0.91</v>
      </c>
      <c r="H28" s="98">
        <v>0.91679999999999995</v>
      </c>
      <c r="I28" s="97">
        <v>0.92</v>
      </c>
    </row>
    <row r="29" spans="2:9" ht="45.75" customHeight="1" x14ac:dyDescent="0.2">
      <c r="B29" s="695" t="s">
        <v>302</v>
      </c>
      <c r="C29" s="695"/>
      <c r="D29" s="97">
        <v>1</v>
      </c>
      <c r="E29" s="97">
        <v>1</v>
      </c>
      <c r="F29" s="98">
        <v>0.996</v>
      </c>
      <c r="G29" s="97">
        <v>1</v>
      </c>
      <c r="H29" s="97">
        <v>1</v>
      </c>
      <c r="I29" s="97">
        <v>1</v>
      </c>
    </row>
    <row r="30" spans="2:9" ht="56.25" customHeight="1" x14ac:dyDescent="0.2">
      <c r="B30" s="695" t="s">
        <v>303</v>
      </c>
      <c r="C30" s="695"/>
      <c r="D30" s="98">
        <v>0.94199999999999995</v>
      </c>
      <c r="E30" s="98">
        <v>0.94399999999999995</v>
      </c>
      <c r="F30" s="98">
        <v>0.92400000000000004</v>
      </c>
      <c r="G30" s="98">
        <v>0.95499999999999996</v>
      </c>
      <c r="H30" s="97">
        <v>1</v>
      </c>
      <c r="I30" s="97">
        <v>0.9</v>
      </c>
    </row>
    <row r="31" spans="2:9" ht="22.5" customHeight="1" x14ac:dyDescent="0.2">
      <c r="B31" s="178">
        <f>D33</f>
        <v>0.7</v>
      </c>
      <c r="C31" s="178">
        <v>0.7</v>
      </c>
      <c r="D31" s="73">
        <f>COUNTIF(D13:D30,"&gt;=70%")</f>
        <v>16</v>
      </c>
      <c r="E31" s="73">
        <f t="shared" ref="E31:G31" si="0">COUNTIF(E13:E30,"&gt;=70%")</f>
        <v>18</v>
      </c>
      <c r="F31" s="73">
        <f t="shared" si="0"/>
        <v>17</v>
      </c>
      <c r="G31" s="73">
        <f t="shared" si="0"/>
        <v>18</v>
      </c>
      <c r="H31" s="73">
        <f>COUNTIF(H13:H30,"&gt;=70%")</f>
        <v>17</v>
      </c>
      <c r="I31" s="73">
        <f>COUNTIF(I13:I30,"&gt;=70%")</f>
        <v>14</v>
      </c>
    </row>
    <row r="32" spans="2:9" ht="22.5" customHeight="1" x14ac:dyDescent="0.2">
      <c r="B32" s="689" t="s">
        <v>274</v>
      </c>
      <c r="C32" s="689"/>
      <c r="D32" s="73">
        <f t="shared" ref="D32:I32" si="1">COUNT(D13:D30)</f>
        <v>17</v>
      </c>
      <c r="E32" s="73">
        <f t="shared" si="1"/>
        <v>18</v>
      </c>
      <c r="F32" s="73">
        <f t="shared" si="1"/>
        <v>17</v>
      </c>
      <c r="G32" s="73">
        <f t="shared" si="1"/>
        <v>18</v>
      </c>
      <c r="H32" s="73">
        <f t="shared" si="1"/>
        <v>17</v>
      </c>
      <c r="I32" s="73">
        <f t="shared" si="1"/>
        <v>15</v>
      </c>
    </row>
    <row r="33" spans="2:14" ht="22.5" customHeight="1" x14ac:dyDescent="0.2">
      <c r="B33" s="685" t="s">
        <v>231</v>
      </c>
      <c r="C33" s="735"/>
      <c r="D33" s="507">
        <v>0.7</v>
      </c>
      <c r="E33" s="507">
        <v>0.7</v>
      </c>
      <c r="F33" s="507">
        <v>0.7</v>
      </c>
      <c r="G33" s="507">
        <v>0.7</v>
      </c>
      <c r="H33" s="507">
        <v>0.7</v>
      </c>
      <c r="I33" s="507">
        <v>0.7</v>
      </c>
      <c r="K33" s="25"/>
    </row>
    <row r="34" spans="2:14" ht="22.5" customHeight="1" x14ac:dyDescent="0.2">
      <c r="B34" s="685" t="s">
        <v>232</v>
      </c>
      <c r="C34" s="735"/>
      <c r="D34" s="52">
        <f t="shared" ref="D34:I34" si="2">D31/D32</f>
        <v>0.94117647058823528</v>
      </c>
      <c r="E34" s="508">
        <f t="shared" si="2"/>
        <v>1</v>
      </c>
      <c r="F34" s="508">
        <f t="shared" si="2"/>
        <v>1</v>
      </c>
      <c r="G34" s="508">
        <f t="shared" si="2"/>
        <v>1</v>
      </c>
      <c r="H34" s="508">
        <f t="shared" si="2"/>
        <v>1</v>
      </c>
      <c r="I34" s="52">
        <f t="shared" si="2"/>
        <v>0.93333333333333335</v>
      </c>
      <c r="K34" s="26"/>
    </row>
    <row r="35" spans="2:14" ht="22.5" customHeight="1" x14ac:dyDescent="0.25">
      <c r="B35" s="7"/>
      <c r="C35" s="7"/>
      <c r="D35" s="6"/>
      <c r="E35" s="6"/>
      <c r="F35" s="6"/>
      <c r="G35" s="6"/>
      <c r="H35" s="6"/>
      <c r="I35" s="6"/>
      <c r="J35" s="6"/>
    </row>
    <row r="36" spans="2:14" ht="22.5" customHeight="1" x14ac:dyDescent="0.2">
      <c r="B36" s="594" t="s">
        <v>233</v>
      </c>
      <c r="C36" s="595"/>
      <c r="D36" s="595"/>
      <c r="E36" s="596"/>
      <c r="F36" s="8"/>
      <c r="K36" s="594" t="s">
        <v>234</v>
      </c>
      <c r="L36" s="595"/>
      <c r="M36" s="595"/>
      <c r="N36" s="596"/>
    </row>
    <row r="37" spans="2:14" ht="22.5" customHeight="1" x14ac:dyDescent="0.2">
      <c r="B37" s="8"/>
      <c r="C37" s="8"/>
      <c r="D37" s="8"/>
      <c r="E37" s="8"/>
      <c r="F37" s="8"/>
      <c r="K37" s="9"/>
      <c r="L37" s="9"/>
      <c r="M37" s="9"/>
      <c r="N37" s="9"/>
    </row>
    <row r="38" spans="2:14" ht="6" customHeight="1" x14ac:dyDescent="0.2">
      <c r="B38" s="8"/>
      <c r="C38" s="8"/>
      <c r="D38" s="8"/>
      <c r="E38" s="8"/>
      <c r="F38" s="8"/>
      <c r="K38" s="579" t="s">
        <v>172</v>
      </c>
      <c r="L38" s="580"/>
      <c r="M38" s="580"/>
      <c r="N38" s="581"/>
    </row>
    <row r="39" spans="2:14" ht="19.5" customHeight="1" x14ac:dyDescent="0.2">
      <c r="B39" s="8"/>
      <c r="C39" s="8"/>
      <c r="D39" s="8"/>
      <c r="E39" s="8"/>
      <c r="F39" s="8"/>
      <c r="K39" s="582"/>
      <c r="L39" s="583"/>
      <c r="M39" s="583"/>
      <c r="N39" s="584"/>
    </row>
    <row r="40" spans="2:14" ht="19.5" customHeight="1" x14ac:dyDescent="0.2">
      <c r="B40" s="8"/>
      <c r="C40" s="8"/>
      <c r="D40" s="8"/>
      <c r="E40" s="8"/>
      <c r="F40" s="8"/>
      <c r="K40" s="582"/>
      <c r="L40" s="583"/>
      <c r="M40" s="583"/>
      <c r="N40" s="584"/>
    </row>
    <row r="41" spans="2:14" ht="19.5" customHeight="1" x14ac:dyDescent="0.2">
      <c r="B41" s="8"/>
      <c r="C41" s="8"/>
      <c r="D41" s="8"/>
      <c r="E41" s="8"/>
      <c r="F41" s="8"/>
      <c r="K41" s="582"/>
      <c r="L41" s="583"/>
      <c r="M41" s="583"/>
      <c r="N41" s="584"/>
    </row>
    <row r="42" spans="2:14" ht="19.5" customHeight="1" x14ac:dyDescent="0.2">
      <c r="B42" s="8"/>
      <c r="C42" s="8"/>
      <c r="D42" s="8"/>
      <c r="E42" s="8"/>
      <c r="F42" s="8"/>
      <c r="K42" s="582"/>
      <c r="L42" s="583"/>
      <c r="M42" s="583"/>
      <c r="N42" s="584"/>
    </row>
    <row r="43" spans="2:14" ht="19.5" customHeight="1" x14ac:dyDescent="0.2">
      <c r="B43" s="8"/>
      <c r="C43" s="8"/>
      <c r="D43" s="8"/>
      <c r="E43" s="8"/>
      <c r="F43" s="8"/>
      <c r="K43" s="582"/>
      <c r="L43" s="583"/>
      <c r="M43" s="583"/>
      <c r="N43" s="584"/>
    </row>
    <row r="44" spans="2:14" ht="19.5" customHeight="1" x14ac:dyDescent="0.2">
      <c r="B44" s="8"/>
      <c r="C44" s="8"/>
      <c r="D44" s="8"/>
      <c r="E44" s="8"/>
      <c r="F44" s="8"/>
      <c r="K44" s="582"/>
      <c r="L44" s="583"/>
      <c r="M44" s="583"/>
      <c r="N44" s="584"/>
    </row>
    <row r="45" spans="2:14" ht="19.5" customHeight="1" x14ac:dyDescent="0.2">
      <c r="B45" s="8"/>
      <c r="C45" s="8"/>
      <c r="D45" s="8"/>
      <c r="E45" s="8"/>
      <c r="F45" s="8"/>
      <c r="K45" s="582"/>
      <c r="L45" s="583"/>
      <c r="M45" s="583"/>
      <c r="N45" s="584"/>
    </row>
    <row r="46" spans="2:14" ht="19.5" customHeight="1" x14ac:dyDescent="0.2">
      <c r="B46" s="8"/>
      <c r="C46" s="8"/>
      <c r="D46" s="8"/>
      <c r="E46" s="8"/>
      <c r="F46" s="8"/>
      <c r="K46" s="585"/>
      <c r="L46" s="586"/>
      <c r="M46" s="586"/>
      <c r="N46" s="587"/>
    </row>
    <row r="47" spans="2:14" ht="19.5" customHeight="1" x14ac:dyDescent="0.2"/>
    <row r="48" spans="2:14" ht="19.5" customHeight="1" x14ac:dyDescent="0.2">
      <c r="H48" s="588" t="s">
        <v>172</v>
      </c>
      <c r="I48" s="589"/>
      <c r="J48" s="589"/>
    </row>
  </sheetData>
  <sheetProtection sheet="1" formatCells="0" formatColumns="0" formatRows="0" insertColumns="0" insertRows="0" insertHyperlinks="0" deleteColumns="0" deleteRows="0" pivotTables="0"/>
  <mergeCells count="41">
    <mergeCell ref="B2:D2"/>
    <mergeCell ref="E2:J2"/>
    <mergeCell ref="B4:C4"/>
    <mergeCell ref="D4:E4"/>
    <mergeCell ref="F4:G4"/>
    <mergeCell ref="H4:J4"/>
    <mergeCell ref="B9:J9"/>
    <mergeCell ref="B13:C13"/>
    <mergeCell ref="B7:C7"/>
    <mergeCell ref="D7:J7"/>
    <mergeCell ref="B5:C5"/>
    <mergeCell ref="D5:E5"/>
    <mergeCell ref="F5:G5"/>
    <mergeCell ref="H5:J5"/>
    <mergeCell ref="B6:C6"/>
    <mergeCell ref="D6:E6"/>
    <mergeCell ref="F6:G6"/>
    <mergeCell ref="K38:N46"/>
    <mergeCell ref="H48:J48"/>
    <mergeCell ref="B26:C26"/>
    <mergeCell ref="B27:C27"/>
    <mergeCell ref="B28:C28"/>
    <mergeCell ref="B29:C29"/>
    <mergeCell ref="B32:C32"/>
    <mergeCell ref="B30:C30"/>
    <mergeCell ref="B19:C19"/>
    <mergeCell ref="B33:C33"/>
    <mergeCell ref="B34:C34"/>
    <mergeCell ref="B36:E36"/>
    <mergeCell ref="K36:N36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</mergeCells>
  <conditionalFormatting sqref="D13:I30">
    <cfRule type="cellIs" dxfId="53" priority="1" operator="between">
      <formula>0</formula>
      <formula>0.63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B6266-F571-4F10-834F-D0F61A50F538}">
  <sheetPr>
    <tabColor theme="9" tint="-0.499984740745262"/>
    <pageSetUpPr fitToPage="1"/>
  </sheetPr>
  <dimension ref="B2:N38"/>
  <sheetViews>
    <sheetView showGridLines="0" topLeftCell="A22" workbookViewId="0">
      <selection activeCell="H25" sqref="H25"/>
    </sheetView>
  </sheetViews>
  <sheetFormatPr defaultColWidth="12.5703125" defaultRowHeight="15.75" customHeight="1" x14ac:dyDescent="0.2"/>
  <cols>
    <col min="1" max="1" width="3.42578125" customWidth="1"/>
    <col min="2" max="2" width="14.140625" customWidth="1"/>
    <col min="3" max="3" width="12.5703125" customWidth="1"/>
    <col min="4" max="4" width="17.28515625" bestFit="1" customWidth="1"/>
    <col min="5" max="9" width="12.5703125" customWidth="1"/>
    <col min="10" max="10" width="36.28515625" customWidth="1"/>
    <col min="11" max="11" width="8.85546875" customWidth="1"/>
    <col min="12" max="21" width="7.5703125" customWidth="1"/>
  </cols>
  <sheetData>
    <row r="2" spans="2:10" ht="55.5" customHeight="1" x14ac:dyDescent="0.2">
      <c r="B2" s="670"/>
      <c r="C2" s="671"/>
      <c r="D2" s="672"/>
      <c r="E2" s="673" t="s">
        <v>213</v>
      </c>
      <c r="F2" s="671"/>
      <c r="G2" s="671"/>
      <c r="H2" s="671"/>
      <c r="I2" s="671"/>
      <c r="J2" s="672"/>
    </row>
    <row r="3" spans="2:10" ht="22.5" customHeight="1" x14ac:dyDescent="0.2">
      <c r="B3" s="46"/>
      <c r="C3" s="46"/>
      <c r="D3" s="47"/>
      <c r="E3" s="47"/>
      <c r="F3" s="47"/>
      <c r="G3" s="47"/>
      <c r="H3" s="47"/>
      <c r="I3" s="47"/>
    </row>
    <row r="4" spans="2:10" ht="42" customHeight="1" x14ac:dyDescent="0.2">
      <c r="B4" s="594" t="s">
        <v>214</v>
      </c>
      <c r="C4" s="596"/>
      <c r="D4" s="674" t="str">
        <f>Índex!B23</f>
        <v>PC2.01_Ind03</v>
      </c>
      <c r="E4" s="672"/>
      <c r="F4" s="594" t="s">
        <v>215</v>
      </c>
      <c r="G4" s="595"/>
      <c r="H4" s="737" t="str">
        <f>Índex!C23</f>
        <v>Valoració mitjana a l’afirmació “Fins ara s’ha seguit la programació de l’assignatura que s’explica a la guia docent dels Graus"</v>
      </c>
      <c r="I4" s="735"/>
      <c r="J4" s="735"/>
    </row>
    <row r="5" spans="2:10" ht="22.5" customHeight="1" x14ac:dyDescent="0.2">
      <c r="B5" s="594" t="s">
        <v>216</v>
      </c>
      <c r="C5" s="596"/>
      <c r="D5" s="736" t="str">
        <f>Índex!F23</f>
        <v>≥3</v>
      </c>
      <c r="E5" s="672"/>
      <c r="F5" s="732" t="s">
        <v>217</v>
      </c>
      <c r="G5" s="595"/>
      <c r="H5" s="733" t="s">
        <v>241</v>
      </c>
      <c r="I5" s="734"/>
      <c r="J5" s="738"/>
    </row>
    <row r="6" spans="2:10" ht="22.5" customHeight="1" x14ac:dyDescent="0.2">
      <c r="B6" s="594" t="s">
        <v>219</v>
      </c>
      <c r="C6" s="596"/>
      <c r="D6" s="674" t="s">
        <v>220</v>
      </c>
      <c r="E6" s="672"/>
      <c r="F6" s="594" t="s">
        <v>242</v>
      </c>
      <c r="G6" s="595"/>
      <c r="H6" s="135" t="str">
        <f>Índex!E23</f>
        <v>Gestora de Qualitat</v>
      </c>
      <c r="I6" s="39"/>
      <c r="J6" s="19"/>
    </row>
    <row r="7" spans="2:10" ht="22.5" customHeight="1" x14ac:dyDescent="0.2">
      <c r="B7" s="594" t="s">
        <v>222</v>
      </c>
      <c r="C7" s="596"/>
      <c r="D7" s="674" t="str">
        <f>Índex!G23</f>
        <v>PC2.02. Programació de Treball de Fi d'Estudis (TFE)</v>
      </c>
      <c r="E7" s="671"/>
      <c r="F7" s="671"/>
      <c r="G7" s="671"/>
      <c r="H7" s="641"/>
      <c r="I7" s="641"/>
      <c r="J7" s="642"/>
    </row>
    <row r="8" spans="2:10" ht="7.5" customHeight="1" x14ac:dyDescent="0.2"/>
    <row r="9" spans="2:10" ht="22.5" customHeight="1" x14ac:dyDescent="0.2">
      <c r="B9" s="594" t="s">
        <v>223</v>
      </c>
      <c r="C9" s="595"/>
      <c r="D9" s="595"/>
      <c r="E9" s="595"/>
      <c r="F9" s="595"/>
      <c r="G9" s="595"/>
      <c r="H9" s="595"/>
      <c r="I9" s="595"/>
      <c r="J9" s="596"/>
    </row>
    <row r="10" spans="2:10" ht="22.5" customHeight="1" x14ac:dyDescent="0.2">
      <c r="B10" s="14"/>
      <c r="C10" s="13"/>
      <c r="D10" s="13"/>
      <c r="E10" s="13"/>
      <c r="F10" s="13"/>
      <c r="G10" s="13"/>
      <c r="H10" s="13"/>
      <c r="I10" s="13"/>
      <c r="J10" s="13"/>
    </row>
    <row r="11" spans="2:10" ht="22.5" customHeight="1" x14ac:dyDescent="0.2"/>
    <row r="12" spans="2:10" ht="22.5" customHeight="1" x14ac:dyDescent="0.2">
      <c r="B12" s="16"/>
      <c r="C12" s="16"/>
      <c r="D12" s="105" t="s">
        <v>224</v>
      </c>
      <c r="E12" s="105" t="s">
        <v>225</v>
      </c>
      <c r="F12" s="105" t="s">
        <v>226</v>
      </c>
      <c r="G12" s="105" t="s">
        <v>227</v>
      </c>
      <c r="H12" s="105" t="s">
        <v>228</v>
      </c>
      <c r="I12" s="105" t="s">
        <v>229</v>
      </c>
    </row>
    <row r="13" spans="2:10" ht="41.25" customHeight="1" x14ac:dyDescent="0.2">
      <c r="B13" s="695" t="s">
        <v>244</v>
      </c>
      <c r="C13" s="695"/>
      <c r="D13" s="99">
        <f>(3.3+3.26)/2</f>
        <v>3.28</v>
      </c>
      <c r="E13" s="44">
        <v>3.42</v>
      </c>
      <c r="F13" s="100">
        <f>(3.29+3.2)/2</f>
        <v>3.2450000000000001</v>
      </c>
      <c r="G13" s="44">
        <v>3.42</v>
      </c>
      <c r="H13" s="44">
        <v>3.36</v>
      </c>
      <c r="I13" s="44">
        <v>3.33</v>
      </c>
      <c r="J13" s="21"/>
    </row>
    <row r="14" spans="2:10" ht="41.25" customHeight="1" x14ac:dyDescent="0.2">
      <c r="B14" s="695" t="s">
        <v>293</v>
      </c>
      <c r="C14" s="695"/>
      <c r="D14" s="99">
        <f>(3.17+3.31)/2</f>
        <v>3.24</v>
      </c>
      <c r="E14" s="44">
        <v>3.32</v>
      </c>
      <c r="F14" s="100">
        <v>3.16</v>
      </c>
      <c r="G14" s="44">
        <v>3.36</v>
      </c>
      <c r="H14" s="44">
        <v>3.45</v>
      </c>
      <c r="I14" s="44">
        <v>3.38</v>
      </c>
      <c r="J14" s="21"/>
    </row>
    <row r="15" spans="2:10" ht="41.25" customHeight="1" x14ac:dyDescent="0.2">
      <c r="B15" s="695" t="s">
        <v>250</v>
      </c>
      <c r="C15" s="695"/>
      <c r="D15" s="99">
        <f>(3.11+3.24)/2</f>
        <v>3.1749999999999998</v>
      </c>
      <c r="E15" s="44">
        <v>3.16</v>
      </c>
      <c r="F15" s="100">
        <f>(3.19+3.17)/2</f>
        <v>3.1799999999999997</v>
      </c>
      <c r="G15" s="44">
        <v>3.03</v>
      </c>
      <c r="H15" s="44">
        <v>3.36</v>
      </c>
      <c r="I15" s="44">
        <v>3.35</v>
      </c>
      <c r="J15" s="21"/>
    </row>
    <row r="16" spans="2:10" ht="41.25" customHeight="1" x14ac:dyDescent="0.2">
      <c r="B16" s="695" t="s">
        <v>247</v>
      </c>
      <c r="C16" s="695"/>
      <c r="D16" s="99">
        <f>(3.26+3.61)/2</f>
        <v>3.4349999999999996</v>
      </c>
      <c r="E16" s="44">
        <v>3.49</v>
      </c>
      <c r="F16" s="100">
        <f>(3.44+3.544)/2</f>
        <v>3.492</v>
      </c>
      <c r="G16" s="44">
        <v>3.55</v>
      </c>
      <c r="H16" s="44">
        <v>3.58</v>
      </c>
      <c r="I16" s="44">
        <v>3.57</v>
      </c>
      <c r="J16" s="21"/>
    </row>
    <row r="17" spans="2:14" ht="41.25" customHeight="1" x14ac:dyDescent="0.2">
      <c r="B17" s="695" t="s">
        <v>251</v>
      </c>
      <c r="C17" s="695"/>
      <c r="D17" s="99" t="s">
        <v>296</v>
      </c>
      <c r="E17" s="44">
        <v>3.65</v>
      </c>
      <c r="F17" s="100">
        <f>(3.61+3.62)/2</f>
        <v>3.6150000000000002</v>
      </c>
      <c r="G17" s="44" t="s">
        <v>277</v>
      </c>
      <c r="H17" s="44">
        <v>3.53</v>
      </c>
      <c r="I17" s="44">
        <v>3.46</v>
      </c>
      <c r="J17" s="21"/>
      <c r="K17" s="18"/>
    </row>
    <row r="18" spans="2:14" ht="41.25" customHeight="1" x14ac:dyDescent="0.2">
      <c r="B18" s="695" t="s">
        <v>252</v>
      </c>
      <c r="C18" s="695"/>
      <c r="D18" s="99">
        <f>(3.38+3.51)/2</f>
        <v>3.4449999999999998</v>
      </c>
      <c r="E18" s="44">
        <v>3.51</v>
      </c>
      <c r="F18" s="100">
        <f>(3.76+3.62)/2</f>
        <v>3.69</v>
      </c>
      <c r="G18" s="44">
        <v>3.55</v>
      </c>
      <c r="H18" s="44">
        <v>3.57</v>
      </c>
      <c r="I18" s="44">
        <v>3.62</v>
      </c>
      <c r="J18" s="21"/>
      <c r="K18" s="18"/>
    </row>
    <row r="19" spans="2:14" ht="41.25" customHeight="1" x14ac:dyDescent="0.2">
      <c r="B19" s="695" t="s">
        <v>254</v>
      </c>
      <c r="C19" s="695"/>
      <c r="D19" s="99">
        <f>(3.29+3.55)/2</f>
        <v>3.42</v>
      </c>
      <c r="E19" s="44">
        <v>3.51</v>
      </c>
      <c r="F19" s="100">
        <f>(3.28+3.55)/2</f>
        <v>3.415</v>
      </c>
      <c r="G19" s="44">
        <v>3.53</v>
      </c>
      <c r="H19" s="44">
        <v>3.56</v>
      </c>
      <c r="I19" s="44">
        <v>3.58</v>
      </c>
      <c r="J19" s="21"/>
      <c r="K19" s="18"/>
    </row>
    <row r="20" spans="2:14" ht="43.5" customHeight="1" x14ac:dyDescent="0.2">
      <c r="B20" s="695" t="s">
        <v>294</v>
      </c>
      <c r="C20" s="695"/>
      <c r="D20" s="99">
        <f>(3.26+3.62)/2</f>
        <v>3.44</v>
      </c>
      <c r="E20" s="100">
        <v>3.43</v>
      </c>
      <c r="F20" s="100">
        <f>(3.43+3.37)/2</f>
        <v>3.4000000000000004</v>
      </c>
      <c r="G20" s="100">
        <v>4</v>
      </c>
      <c r="H20" s="100">
        <v>3.59</v>
      </c>
      <c r="I20" s="100">
        <v>3.66</v>
      </c>
      <c r="J20" s="21"/>
      <c r="K20" s="18"/>
    </row>
    <row r="21" spans="2:14" ht="22.5" customHeight="1" x14ac:dyDescent="0.2">
      <c r="B21" s="687" t="str">
        <f>Índex!$F23</f>
        <v>≥3</v>
      </c>
      <c r="C21" s="687"/>
      <c r="D21" s="51">
        <f>COUNTIF(D13:D20,"&gt;=3")</f>
        <v>7</v>
      </c>
      <c r="E21" s="51">
        <f t="shared" ref="E21:G21" si="0">COUNTIF(E13:E20,"&gt;=3")</f>
        <v>8</v>
      </c>
      <c r="F21" s="51">
        <f t="shared" si="0"/>
        <v>8</v>
      </c>
      <c r="G21" s="51">
        <f t="shared" si="0"/>
        <v>7</v>
      </c>
      <c r="H21" s="51">
        <f>COUNTIF(H13:H20,"&gt;=3")</f>
        <v>8</v>
      </c>
      <c r="I21" s="51">
        <f>COUNTIF(I13:I20,"&gt;=3")</f>
        <v>8</v>
      </c>
    </row>
    <row r="22" spans="2:14" ht="22.5" customHeight="1" x14ac:dyDescent="0.2">
      <c r="B22" s="687" t="s">
        <v>309</v>
      </c>
      <c r="C22" s="687"/>
      <c r="D22" s="51">
        <f t="shared" ref="D22:I22" si="1">COUNT(D13:D20)</f>
        <v>7</v>
      </c>
      <c r="E22" s="51">
        <f t="shared" si="1"/>
        <v>8</v>
      </c>
      <c r="F22" s="51">
        <f t="shared" si="1"/>
        <v>8</v>
      </c>
      <c r="G22" s="51">
        <f t="shared" si="1"/>
        <v>7</v>
      </c>
      <c r="H22" s="51">
        <f t="shared" si="1"/>
        <v>8</v>
      </c>
      <c r="I22" s="51">
        <f t="shared" si="1"/>
        <v>8</v>
      </c>
    </row>
    <row r="23" spans="2:14" ht="22.5" customHeight="1" x14ac:dyDescent="0.2">
      <c r="B23" s="687" t="s">
        <v>310</v>
      </c>
      <c r="C23" s="687"/>
      <c r="D23" s="157" t="s">
        <v>311</v>
      </c>
      <c r="E23" s="157" t="s">
        <v>311</v>
      </c>
      <c r="F23" s="157" t="s">
        <v>311</v>
      </c>
      <c r="G23" s="157" t="s">
        <v>311</v>
      </c>
      <c r="H23" s="157" t="s">
        <v>311</v>
      </c>
      <c r="I23" s="157" t="s">
        <v>311</v>
      </c>
      <c r="K23" s="25"/>
    </row>
    <row r="24" spans="2:14" ht="22.5" customHeight="1" x14ac:dyDescent="0.2">
      <c r="B24" s="685" t="s">
        <v>232</v>
      </c>
      <c r="C24" s="735"/>
      <c r="D24" s="508">
        <f t="shared" ref="D24:I24" si="2">D21/D22</f>
        <v>1</v>
      </c>
      <c r="E24" s="508">
        <f t="shared" si="2"/>
        <v>1</v>
      </c>
      <c r="F24" s="508">
        <f t="shared" si="2"/>
        <v>1</v>
      </c>
      <c r="G24" s="508">
        <f t="shared" si="2"/>
        <v>1</v>
      </c>
      <c r="H24" s="508">
        <f t="shared" si="2"/>
        <v>1</v>
      </c>
      <c r="I24" s="508">
        <f t="shared" si="2"/>
        <v>1</v>
      </c>
      <c r="K24" s="49"/>
    </row>
    <row r="25" spans="2:14" ht="22.5" customHeight="1" x14ac:dyDescent="0.25">
      <c r="B25" s="7"/>
      <c r="C25" s="7"/>
      <c r="D25" s="6"/>
      <c r="E25" s="6"/>
      <c r="F25" s="6"/>
      <c r="G25" s="6"/>
      <c r="H25" s="6"/>
      <c r="I25" s="6"/>
      <c r="J25" s="6"/>
    </row>
    <row r="26" spans="2:14" ht="22.5" customHeight="1" x14ac:dyDescent="0.2">
      <c r="B26" s="594" t="s">
        <v>233</v>
      </c>
      <c r="C26" s="595"/>
      <c r="D26" s="595"/>
      <c r="E26" s="596"/>
      <c r="F26" s="8"/>
      <c r="K26" s="594" t="s">
        <v>234</v>
      </c>
      <c r="L26" s="595"/>
      <c r="M26" s="595"/>
      <c r="N26" s="596"/>
    </row>
    <row r="27" spans="2:14" ht="22.5" customHeight="1" x14ac:dyDescent="0.2">
      <c r="B27" s="8"/>
      <c r="C27" s="8"/>
      <c r="D27" s="8"/>
      <c r="E27" s="8"/>
      <c r="F27" s="8"/>
      <c r="K27" s="9"/>
      <c r="L27" s="9"/>
      <c r="M27" s="9"/>
      <c r="N27" s="9"/>
    </row>
    <row r="28" spans="2:14" ht="6" customHeight="1" x14ac:dyDescent="0.2">
      <c r="B28" s="8"/>
      <c r="C28" s="8"/>
      <c r="D28" s="8"/>
      <c r="E28" s="8"/>
      <c r="F28" s="8"/>
      <c r="K28" s="579" t="s">
        <v>172</v>
      </c>
      <c r="L28" s="580"/>
      <c r="M28" s="580"/>
      <c r="N28" s="581"/>
    </row>
    <row r="29" spans="2:14" ht="19.5" customHeight="1" x14ac:dyDescent="0.2">
      <c r="B29" s="8"/>
      <c r="C29" s="8"/>
      <c r="D29" s="8"/>
      <c r="E29" s="8"/>
      <c r="F29" s="8"/>
      <c r="K29" s="582"/>
      <c r="L29" s="583"/>
      <c r="M29" s="583"/>
      <c r="N29" s="584"/>
    </row>
    <row r="30" spans="2:14" ht="19.5" customHeight="1" x14ac:dyDescent="0.2">
      <c r="B30" s="8"/>
      <c r="C30" s="8"/>
      <c r="D30" s="8"/>
      <c r="E30" s="8"/>
      <c r="F30" s="8"/>
      <c r="K30" s="582"/>
      <c r="L30" s="583"/>
      <c r="M30" s="583"/>
      <c r="N30" s="584"/>
    </row>
    <row r="31" spans="2:14" ht="19.5" customHeight="1" x14ac:dyDescent="0.2">
      <c r="B31" s="8"/>
      <c r="C31" s="8"/>
      <c r="D31" s="8"/>
      <c r="E31" s="8"/>
      <c r="F31" s="8"/>
      <c r="K31" s="582"/>
      <c r="L31" s="583"/>
      <c r="M31" s="583"/>
      <c r="N31" s="584"/>
    </row>
    <row r="32" spans="2:14" ht="19.5" customHeight="1" x14ac:dyDescent="0.2">
      <c r="B32" s="8"/>
      <c r="C32" s="8"/>
      <c r="D32" s="8"/>
      <c r="E32" s="8"/>
      <c r="F32" s="8"/>
      <c r="K32" s="582"/>
      <c r="L32" s="583"/>
      <c r="M32" s="583"/>
      <c r="N32" s="584"/>
    </row>
    <row r="33" spans="8:14" ht="19.5" customHeight="1" x14ac:dyDescent="0.2">
      <c r="K33" s="582"/>
      <c r="L33" s="583"/>
      <c r="M33" s="583"/>
      <c r="N33" s="584"/>
    </row>
    <row r="34" spans="8:14" ht="19.5" customHeight="1" x14ac:dyDescent="0.2">
      <c r="K34" s="582"/>
      <c r="L34" s="583"/>
      <c r="M34" s="583"/>
      <c r="N34" s="584"/>
    </row>
    <row r="35" spans="8:14" ht="19.5" customHeight="1" x14ac:dyDescent="0.2">
      <c r="K35" s="582"/>
      <c r="L35" s="583"/>
      <c r="M35" s="583"/>
      <c r="N35" s="584"/>
    </row>
    <row r="36" spans="8:14" ht="19.5" customHeight="1" x14ac:dyDescent="0.2">
      <c r="K36" s="585"/>
      <c r="L36" s="586"/>
      <c r="M36" s="586"/>
      <c r="N36" s="587"/>
    </row>
    <row r="37" spans="8:14" ht="19.5" customHeight="1" x14ac:dyDescent="0.2"/>
    <row r="38" spans="8:14" ht="19.5" customHeight="1" x14ac:dyDescent="0.2">
      <c r="H38" s="588" t="s">
        <v>172</v>
      </c>
      <c r="I38" s="589"/>
      <c r="J38" s="589"/>
    </row>
  </sheetData>
  <sheetProtection sheet="1" formatCells="0" formatColumns="0" formatRows="0" insertColumns="0" insertRows="0" insertHyperlinks="0" deleteColumns="0" deleteRows="0" pivotTables="0"/>
  <mergeCells count="32">
    <mergeCell ref="B15:C15"/>
    <mergeCell ref="B16:C16"/>
    <mergeCell ref="K26:N26"/>
    <mergeCell ref="K28:N36"/>
    <mergeCell ref="H38:J38"/>
    <mergeCell ref="B17:C17"/>
    <mergeCell ref="B21:C21"/>
    <mergeCell ref="B22:C22"/>
    <mergeCell ref="B23:C23"/>
    <mergeCell ref="B24:C24"/>
    <mergeCell ref="B26:E26"/>
    <mergeCell ref="B19:C19"/>
    <mergeCell ref="B20:C20"/>
    <mergeCell ref="B18:C18"/>
    <mergeCell ref="B7:C7"/>
    <mergeCell ref="D7:J7"/>
    <mergeCell ref="B9:J9"/>
    <mergeCell ref="B13:C13"/>
    <mergeCell ref="B14:C14"/>
    <mergeCell ref="B5:C5"/>
    <mergeCell ref="D5:E5"/>
    <mergeCell ref="F5:G5"/>
    <mergeCell ref="H5:J5"/>
    <mergeCell ref="B6:C6"/>
    <mergeCell ref="D6:E6"/>
    <mergeCell ref="F6:G6"/>
    <mergeCell ref="B2:D2"/>
    <mergeCell ref="E2:J2"/>
    <mergeCell ref="B4:C4"/>
    <mergeCell ref="D4:E4"/>
    <mergeCell ref="F4:G4"/>
    <mergeCell ref="H4:J4"/>
  </mergeCells>
  <conditionalFormatting sqref="D13:I20">
    <cfRule type="cellIs" dxfId="52" priority="1" operator="between">
      <formula>0</formula>
      <formula>2.7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16F3E-631F-4EF5-9414-163E839D9E87}">
  <sheetPr>
    <tabColor theme="9" tint="-0.499984740745262"/>
    <pageSetUpPr fitToPage="1"/>
  </sheetPr>
  <dimension ref="B2:N37"/>
  <sheetViews>
    <sheetView showGridLines="0" topLeftCell="A13" zoomScale="77" zoomScaleNormal="77" workbookViewId="0">
      <selection activeCell="J17" sqref="J17"/>
    </sheetView>
  </sheetViews>
  <sheetFormatPr defaultColWidth="12.5703125" defaultRowHeight="15.75" customHeight="1" x14ac:dyDescent="0.2"/>
  <cols>
    <col min="1" max="1" width="3.42578125" customWidth="1"/>
    <col min="2" max="2" width="14.140625" customWidth="1"/>
    <col min="3" max="3" width="12.5703125" customWidth="1"/>
    <col min="4" max="4" width="17.28515625" bestFit="1" customWidth="1"/>
    <col min="5" max="9" width="12.5703125" customWidth="1"/>
    <col min="10" max="10" width="12.42578125" customWidth="1"/>
    <col min="11" max="11" width="36.85546875" customWidth="1"/>
    <col min="12" max="21" width="7.5703125" customWidth="1"/>
  </cols>
  <sheetData>
    <row r="2" spans="2:10" ht="55.5" customHeight="1" x14ac:dyDescent="0.2">
      <c r="B2" s="670"/>
      <c r="C2" s="671"/>
      <c r="D2" s="672"/>
      <c r="E2" s="673" t="s">
        <v>213</v>
      </c>
      <c r="F2" s="671"/>
      <c r="G2" s="671"/>
      <c r="H2" s="671"/>
      <c r="I2" s="671"/>
      <c r="J2" s="672"/>
    </row>
    <row r="3" spans="2:10" ht="22.5" customHeight="1" x14ac:dyDescent="0.2">
      <c r="B3" s="46"/>
      <c r="C3" s="46"/>
      <c r="D3" s="47"/>
      <c r="E3" s="47"/>
      <c r="F3" s="47"/>
      <c r="G3" s="47"/>
      <c r="H3" s="47"/>
      <c r="I3" s="47"/>
    </row>
    <row r="4" spans="2:10" ht="42" customHeight="1" x14ac:dyDescent="0.2">
      <c r="B4" s="594" t="s">
        <v>214</v>
      </c>
      <c r="C4" s="596"/>
      <c r="D4" s="674" t="str">
        <f>Índex!B24</f>
        <v>PC2.01_Ind04</v>
      </c>
      <c r="E4" s="672"/>
      <c r="F4" s="594" t="s">
        <v>215</v>
      </c>
      <c r="G4" s="596"/>
      <c r="H4" s="691" t="str">
        <f>Índex!C24</f>
        <v xml:space="preserve">Valoració mitjana a l’afirmació “Fins ara s’ha seguit la programació de l’assignatura que s’explica a la guia docent dels Màsters"  </v>
      </c>
      <c r="I4" s="635"/>
      <c r="J4" s="636"/>
    </row>
    <row r="5" spans="2:10" ht="22.5" customHeight="1" x14ac:dyDescent="0.2">
      <c r="B5" s="594" t="s">
        <v>216</v>
      </c>
      <c r="C5" s="596"/>
      <c r="D5" s="736" t="str">
        <f>Índex!F24</f>
        <v>≥3</v>
      </c>
      <c r="E5" s="672"/>
      <c r="F5" s="732" t="s">
        <v>217</v>
      </c>
      <c r="G5" s="595"/>
      <c r="H5" s="733" t="s">
        <v>218</v>
      </c>
      <c r="I5" s="734"/>
      <c r="J5" s="738"/>
    </row>
    <row r="6" spans="2:10" ht="22.5" customHeight="1" x14ac:dyDescent="0.2">
      <c r="B6" s="594" t="s">
        <v>219</v>
      </c>
      <c r="C6" s="596"/>
      <c r="D6" s="674" t="s">
        <v>220</v>
      </c>
      <c r="E6" s="672"/>
      <c r="F6" s="594" t="s">
        <v>242</v>
      </c>
      <c r="G6" s="595"/>
      <c r="H6" s="12" t="str">
        <f>Índex!E24</f>
        <v>Gestora de Qualitat</v>
      </c>
      <c r="I6" s="39"/>
      <c r="J6" s="19"/>
    </row>
    <row r="7" spans="2:10" ht="22.5" customHeight="1" x14ac:dyDescent="0.2">
      <c r="B7" s="594" t="s">
        <v>222</v>
      </c>
      <c r="C7" s="596"/>
      <c r="D7" s="674" t="str">
        <f>Índex!G24</f>
        <v>PC2.01. Planificació i Programació d’Assignatures. Guies Docents</v>
      </c>
      <c r="E7" s="671"/>
      <c r="F7" s="671"/>
      <c r="G7" s="671"/>
      <c r="H7" s="641"/>
      <c r="I7" s="641"/>
      <c r="J7" s="642"/>
    </row>
    <row r="8" spans="2:10" ht="7.5" customHeight="1" x14ac:dyDescent="0.2"/>
    <row r="9" spans="2:10" ht="22.5" customHeight="1" x14ac:dyDescent="0.2">
      <c r="B9" s="594" t="s">
        <v>223</v>
      </c>
      <c r="C9" s="595"/>
      <c r="D9" s="595"/>
      <c r="E9" s="595"/>
      <c r="F9" s="595"/>
      <c r="G9" s="595"/>
      <c r="H9" s="595"/>
      <c r="I9" s="595"/>
      <c r="J9" s="596"/>
    </row>
    <row r="10" spans="2:10" ht="22.5" customHeight="1" x14ac:dyDescent="0.2">
      <c r="B10" s="14"/>
      <c r="C10" s="13"/>
      <c r="D10" s="13"/>
      <c r="E10" s="13"/>
      <c r="F10" s="13"/>
      <c r="G10" s="13"/>
      <c r="H10" s="13"/>
      <c r="I10" s="13"/>
      <c r="J10" s="13"/>
    </row>
    <row r="11" spans="2:10" ht="22.5" customHeight="1" x14ac:dyDescent="0.2"/>
    <row r="12" spans="2:10" ht="22.5" customHeight="1" x14ac:dyDescent="0.2">
      <c r="B12" s="16"/>
      <c r="C12" s="16"/>
      <c r="D12" s="103" t="s">
        <v>224</v>
      </c>
      <c r="E12" s="103" t="s">
        <v>225</v>
      </c>
      <c r="F12" s="103" t="s">
        <v>226</v>
      </c>
      <c r="G12" s="103" t="s">
        <v>227</v>
      </c>
      <c r="H12" s="103" t="s">
        <v>228</v>
      </c>
      <c r="I12" s="103" t="s">
        <v>229</v>
      </c>
      <c r="J12" s="400"/>
    </row>
    <row r="13" spans="2:10" ht="51.75" customHeight="1" x14ac:dyDescent="0.2">
      <c r="B13" s="695" t="s">
        <v>312</v>
      </c>
      <c r="C13" s="695"/>
      <c r="D13" s="99">
        <f>(3.64+3.45)/2</f>
        <v>3.5449999999999999</v>
      </c>
      <c r="E13" s="44">
        <v>3.3</v>
      </c>
      <c r="F13" s="100" t="s">
        <v>296</v>
      </c>
      <c r="G13" s="100" t="s">
        <v>296</v>
      </c>
      <c r="H13" s="100">
        <v>3.89</v>
      </c>
      <c r="I13" s="100">
        <v>3.49</v>
      </c>
    </row>
    <row r="14" spans="2:10" ht="29.25" customHeight="1" x14ac:dyDescent="0.2">
      <c r="B14" s="695" t="s">
        <v>298</v>
      </c>
      <c r="C14" s="695"/>
      <c r="D14" s="99">
        <f>(3.44+3)/2</f>
        <v>3.2199999999999998</v>
      </c>
      <c r="E14" s="44">
        <v>3.47</v>
      </c>
      <c r="F14" s="100">
        <v>3.64</v>
      </c>
      <c r="G14" s="100">
        <v>3.64</v>
      </c>
      <c r="H14" s="100">
        <v>3.83</v>
      </c>
      <c r="I14" s="100">
        <v>3.8</v>
      </c>
    </row>
    <row r="15" spans="2:10" ht="29.25" customHeight="1" x14ac:dyDescent="0.2">
      <c r="B15" s="695" t="s">
        <v>299</v>
      </c>
      <c r="C15" s="695"/>
      <c r="D15" s="100">
        <v>4</v>
      </c>
      <c r="E15" s="44">
        <v>3.61</v>
      </c>
      <c r="F15" s="100">
        <f>(3.85+3.67)/2</f>
        <v>3.76</v>
      </c>
      <c r="G15" s="100">
        <f>(4+3.75)/2</f>
        <v>3.875</v>
      </c>
      <c r="H15" s="100">
        <v>3.72</v>
      </c>
      <c r="I15" s="100">
        <v>3.72</v>
      </c>
    </row>
    <row r="16" spans="2:10" ht="48.75" customHeight="1" x14ac:dyDescent="0.2">
      <c r="B16" s="695" t="s">
        <v>300</v>
      </c>
      <c r="C16" s="695"/>
      <c r="D16" s="99">
        <v>3.21</v>
      </c>
      <c r="E16" s="44">
        <v>3.52</v>
      </c>
      <c r="F16" s="100">
        <v>3.39</v>
      </c>
      <c r="G16" s="100">
        <v>2.86</v>
      </c>
      <c r="H16" s="100" t="s">
        <v>237</v>
      </c>
      <c r="I16" s="100" t="s">
        <v>237</v>
      </c>
    </row>
    <row r="17" spans="2:14" ht="55.5" customHeight="1" x14ac:dyDescent="0.2">
      <c r="B17" s="695" t="s">
        <v>301</v>
      </c>
      <c r="C17" s="695"/>
      <c r="D17" s="100" t="s">
        <v>237</v>
      </c>
      <c r="E17" s="44">
        <v>3.5</v>
      </c>
      <c r="F17" s="100" t="s">
        <v>296</v>
      </c>
      <c r="G17" s="100" t="s">
        <v>296</v>
      </c>
      <c r="H17" s="100">
        <v>3.05</v>
      </c>
      <c r="I17" s="100">
        <v>3.46</v>
      </c>
      <c r="K17" s="18"/>
    </row>
    <row r="18" spans="2:14" ht="45.75" customHeight="1" x14ac:dyDescent="0.2">
      <c r="B18" s="695" t="s">
        <v>302</v>
      </c>
      <c r="C18" s="695"/>
      <c r="D18" s="100" t="s">
        <v>237</v>
      </c>
      <c r="E18" s="44">
        <v>3.38</v>
      </c>
      <c r="F18" s="100" t="s">
        <v>296</v>
      </c>
      <c r="G18" s="100" t="s">
        <v>296</v>
      </c>
      <c r="H18" s="100" t="s">
        <v>237</v>
      </c>
      <c r="I18" s="100">
        <v>3.5</v>
      </c>
      <c r="J18" s="9"/>
      <c r="K18" s="23"/>
    </row>
    <row r="19" spans="2:14" ht="56.25" customHeight="1" x14ac:dyDescent="0.2">
      <c r="B19" s="695" t="s">
        <v>303</v>
      </c>
      <c r="C19" s="695"/>
      <c r="D19" s="100">
        <v>2.5</v>
      </c>
      <c r="E19" s="44">
        <v>3.44</v>
      </c>
      <c r="F19" s="100" t="s">
        <v>296</v>
      </c>
      <c r="G19" s="100" t="s">
        <v>296</v>
      </c>
      <c r="H19" s="100" t="s">
        <v>237</v>
      </c>
      <c r="I19" s="100">
        <v>3.88</v>
      </c>
      <c r="K19" s="18"/>
    </row>
    <row r="20" spans="2:14" ht="22.5" customHeight="1" x14ac:dyDescent="0.2">
      <c r="B20" s="687" t="str">
        <f>D5</f>
        <v>≥3</v>
      </c>
      <c r="C20" s="687"/>
      <c r="D20" s="51">
        <f>COUNTIF(D13:D19,"&gt;=3")</f>
        <v>4</v>
      </c>
      <c r="E20" s="51">
        <f t="shared" ref="E20:G20" si="0">COUNTIF(E13:E19,"&gt;=3")</f>
        <v>7</v>
      </c>
      <c r="F20" s="51">
        <f t="shared" si="0"/>
        <v>3</v>
      </c>
      <c r="G20" s="51">
        <f t="shared" si="0"/>
        <v>2</v>
      </c>
      <c r="H20" s="51">
        <f>COUNTIF(H13:H19,"&gt;=3")</f>
        <v>4</v>
      </c>
      <c r="I20" s="51">
        <f>COUNTIF(I13:I19,"&gt;=3")</f>
        <v>6</v>
      </c>
    </row>
    <row r="21" spans="2:14" ht="22.5" customHeight="1" x14ac:dyDescent="0.2">
      <c r="B21" s="689" t="s">
        <v>274</v>
      </c>
      <c r="C21" s="689"/>
      <c r="D21" s="51">
        <f>COUNT(D13:D19)</f>
        <v>5</v>
      </c>
      <c r="E21" s="51">
        <f>COUNT(E13:E19)</f>
        <v>7</v>
      </c>
      <c r="F21" s="51">
        <f>COUNT(F13:F19)</f>
        <v>3</v>
      </c>
      <c r="G21" s="51">
        <f>COUNT(G13:G18)</f>
        <v>3</v>
      </c>
      <c r="H21" s="51">
        <f>COUNT(H13:H19)</f>
        <v>4</v>
      </c>
      <c r="I21" s="51">
        <f>COUNT(I13:I19)</f>
        <v>6</v>
      </c>
    </row>
    <row r="22" spans="2:14" ht="22.5" customHeight="1" x14ac:dyDescent="0.2">
      <c r="B22" s="685" t="s">
        <v>231</v>
      </c>
      <c r="C22" s="735"/>
      <c r="D22" s="62">
        <v>3</v>
      </c>
      <c r="E22" s="62">
        <v>3</v>
      </c>
      <c r="F22" s="62">
        <v>3</v>
      </c>
      <c r="G22" s="62">
        <v>3</v>
      </c>
      <c r="H22" s="62">
        <v>3</v>
      </c>
      <c r="I22" s="62">
        <v>3</v>
      </c>
      <c r="K22" s="25"/>
    </row>
    <row r="23" spans="2:14" ht="22.5" customHeight="1" x14ac:dyDescent="0.2">
      <c r="B23" s="685" t="s">
        <v>232</v>
      </c>
      <c r="C23" s="735"/>
      <c r="D23" s="508">
        <f t="shared" ref="D23:I23" si="1">D20/D21</f>
        <v>0.8</v>
      </c>
      <c r="E23" s="508">
        <f t="shared" si="1"/>
        <v>1</v>
      </c>
      <c r="F23" s="508">
        <f t="shared" si="1"/>
        <v>1</v>
      </c>
      <c r="G23" s="508">
        <f t="shared" si="1"/>
        <v>0.66666666666666663</v>
      </c>
      <c r="H23" s="508">
        <f t="shared" si="1"/>
        <v>1</v>
      </c>
      <c r="I23" s="508">
        <f t="shared" si="1"/>
        <v>1</v>
      </c>
      <c r="K23" s="49"/>
    </row>
    <row r="24" spans="2:14" ht="22.5" customHeight="1" x14ac:dyDescent="0.25">
      <c r="B24" s="7"/>
      <c r="C24" s="7"/>
      <c r="D24" s="6"/>
      <c r="E24" s="6"/>
      <c r="F24" s="6"/>
      <c r="G24" s="6"/>
      <c r="H24" s="6"/>
      <c r="I24" s="6"/>
      <c r="K24" s="70" t="s">
        <v>234</v>
      </c>
      <c r="L24" s="147"/>
      <c r="M24" s="147"/>
      <c r="N24" s="146"/>
    </row>
    <row r="25" spans="2:14" ht="22.5" customHeight="1" x14ac:dyDescent="0.2">
      <c r="B25" s="594" t="s">
        <v>233</v>
      </c>
      <c r="C25" s="595"/>
      <c r="D25" s="595"/>
      <c r="E25" s="596"/>
      <c r="F25" s="8"/>
      <c r="K25" s="9"/>
      <c r="L25" s="9"/>
      <c r="M25" s="9"/>
    </row>
    <row r="26" spans="2:14" ht="51.75" customHeight="1" x14ac:dyDescent="0.2">
      <c r="B26" s="8"/>
      <c r="C26" s="8"/>
      <c r="D26" s="8"/>
      <c r="E26" s="8"/>
      <c r="F26" s="8"/>
      <c r="K26" s="739" t="s">
        <v>313</v>
      </c>
      <c r="L26" s="739"/>
      <c r="M26" s="739"/>
      <c r="N26" s="740"/>
    </row>
    <row r="27" spans="2:14" ht="6" customHeight="1" x14ac:dyDescent="0.2">
      <c r="B27" s="8"/>
      <c r="C27" s="8"/>
      <c r="D27" s="8"/>
      <c r="E27" s="8"/>
      <c r="F27" s="8"/>
      <c r="K27" s="741"/>
      <c r="L27" s="741"/>
      <c r="M27" s="741"/>
      <c r="N27" s="742"/>
    </row>
    <row r="28" spans="2:14" ht="19.5" customHeight="1" x14ac:dyDescent="0.2">
      <c r="B28" s="8"/>
      <c r="C28" s="8"/>
      <c r="D28" s="8"/>
      <c r="E28" s="8"/>
      <c r="F28" s="8"/>
      <c r="K28" s="741"/>
      <c r="L28" s="741"/>
      <c r="M28" s="741"/>
      <c r="N28" s="742"/>
    </row>
    <row r="29" spans="2:14" ht="19.5" customHeight="1" x14ac:dyDescent="0.2">
      <c r="B29" s="8"/>
      <c r="C29" s="8"/>
      <c r="D29" s="8"/>
      <c r="E29" s="8"/>
      <c r="F29" s="8"/>
      <c r="K29" s="741"/>
      <c r="L29" s="741"/>
      <c r="M29" s="741"/>
      <c r="N29" s="742"/>
    </row>
    <row r="30" spans="2:14" ht="19.5" customHeight="1" x14ac:dyDescent="0.2">
      <c r="B30" s="8"/>
      <c r="C30" s="8"/>
      <c r="D30" s="8"/>
      <c r="E30" s="8"/>
      <c r="F30" s="8"/>
      <c r="K30" s="741"/>
      <c r="L30" s="741"/>
      <c r="M30" s="741"/>
      <c r="N30" s="742"/>
    </row>
    <row r="31" spans="2:14" ht="19.5" customHeight="1" x14ac:dyDescent="0.2">
      <c r="B31" s="8"/>
      <c r="C31" s="8"/>
      <c r="D31" s="8"/>
      <c r="E31" s="8"/>
      <c r="F31" s="8"/>
      <c r="K31" s="741"/>
      <c r="L31" s="741"/>
      <c r="M31" s="741"/>
      <c r="N31" s="742"/>
    </row>
    <row r="32" spans="2:14" ht="19.5" customHeight="1" x14ac:dyDescent="0.2">
      <c r="B32" s="8"/>
      <c r="C32" s="8"/>
      <c r="D32" s="8"/>
      <c r="E32" s="8"/>
      <c r="F32" s="8"/>
      <c r="K32" s="741"/>
      <c r="L32" s="741"/>
      <c r="M32" s="741"/>
      <c r="N32" s="742"/>
    </row>
    <row r="33" spans="8:14" ht="19.5" customHeight="1" x14ac:dyDescent="0.2">
      <c r="K33" s="741"/>
      <c r="L33" s="741"/>
      <c r="M33" s="741"/>
      <c r="N33" s="742"/>
    </row>
    <row r="34" spans="8:14" ht="19.5" customHeight="1" x14ac:dyDescent="0.2">
      <c r="K34" s="743"/>
      <c r="L34" s="743"/>
      <c r="M34" s="743"/>
      <c r="N34" s="744"/>
    </row>
    <row r="35" spans="8:14" ht="19.5" customHeight="1" x14ac:dyDescent="0.2"/>
    <row r="36" spans="8:14" ht="19.5" customHeight="1" x14ac:dyDescent="0.2"/>
    <row r="37" spans="8:14" ht="19.5" customHeight="1" x14ac:dyDescent="0.2">
      <c r="H37" s="399" t="s">
        <v>172</v>
      </c>
    </row>
  </sheetData>
  <sheetProtection sheet="1" formatCells="0" formatColumns="0" formatRows="0" insertColumns="0" insertRows="0" insertHyperlinks="0" deleteColumns="0" deleteRows="0" pivotTables="0"/>
  <mergeCells count="29">
    <mergeCell ref="K26:N34"/>
    <mergeCell ref="B23:C23"/>
    <mergeCell ref="B25:E25"/>
    <mergeCell ref="B9:J9"/>
    <mergeCell ref="B7:C7"/>
    <mergeCell ref="D7:J7"/>
    <mergeCell ref="B22:C2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5:C5"/>
    <mergeCell ref="D5:E5"/>
    <mergeCell ref="F5:G5"/>
    <mergeCell ref="H5:J5"/>
    <mergeCell ref="B6:C6"/>
    <mergeCell ref="D6:E6"/>
    <mergeCell ref="F6:G6"/>
    <mergeCell ref="B2:D2"/>
    <mergeCell ref="E2:J2"/>
    <mergeCell ref="B4:C4"/>
    <mergeCell ref="D4:E4"/>
    <mergeCell ref="F4:G4"/>
    <mergeCell ref="H4:J4"/>
  </mergeCells>
  <conditionalFormatting sqref="D13:I19">
    <cfRule type="cellIs" dxfId="51" priority="1" operator="between">
      <formula>0</formula>
      <formula>2.7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09D1C-55CF-496F-8F5B-B3D0A68B47FB}">
  <sheetPr>
    <tabColor theme="9" tint="-0.499984740745262"/>
  </sheetPr>
  <dimension ref="A2:K36"/>
  <sheetViews>
    <sheetView topLeftCell="A21" workbookViewId="0">
      <selection activeCell="G24" sqref="G24"/>
    </sheetView>
  </sheetViews>
  <sheetFormatPr defaultColWidth="9.140625" defaultRowHeight="12.75" x14ac:dyDescent="0.2"/>
  <cols>
    <col min="1" max="1" width="19.5703125" customWidth="1"/>
    <col min="2" max="2" width="12.5703125" customWidth="1"/>
    <col min="3" max="3" width="12.85546875" customWidth="1"/>
    <col min="4" max="4" width="15" customWidth="1"/>
    <col min="5" max="5" width="13.7109375" customWidth="1"/>
    <col min="6" max="6" width="11.5703125" customWidth="1"/>
    <col min="9" max="9" width="20.85546875" customWidth="1"/>
  </cols>
  <sheetData>
    <row r="2" spans="1:9" ht="57" customHeight="1" x14ac:dyDescent="0.2">
      <c r="A2" s="670"/>
      <c r="B2" s="671"/>
      <c r="C2" s="672"/>
      <c r="D2" s="673" t="s">
        <v>213</v>
      </c>
      <c r="E2" s="671"/>
      <c r="F2" s="671"/>
      <c r="G2" s="671"/>
      <c r="H2" s="671"/>
      <c r="I2" s="672"/>
    </row>
    <row r="3" spans="1:9" ht="14.25" x14ac:dyDescent="0.2">
      <c r="A3" s="46"/>
      <c r="B3" s="46"/>
      <c r="C3" s="47"/>
      <c r="D3" s="47"/>
      <c r="E3" s="47"/>
      <c r="F3" s="47"/>
      <c r="G3" s="47"/>
      <c r="H3" s="47"/>
    </row>
    <row r="4" spans="1:9" ht="41.25" customHeight="1" x14ac:dyDescent="0.2">
      <c r="A4" s="594" t="s">
        <v>214</v>
      </c>
      <c r="B4" s="596"/>
      <c r="C4" s="674" t="str">
        <f>Índex!B25</f>
        <v>PC2.01_Ind05</v>
      </c>
      <c r="D4" s="672"/>
      <c r="E4" s="594" t="s">
        <v>215</v>
      </c>
      <c r="F4" s="596"/>
      <c r="G4" s="691" t="str">
        <f>Índex!C25</f>
        <v>Evolució del número d'assignatures en anglès als Màsters oficials de la Facultat (Pla Estratègic 2022/2023 a 2024/2025)</v>
      </c>
      <c r="H4" s="635"/>
      <c r="I4" s="636"/>
    </row>
    <row r="5" spans="1:9" x14ac:dyDescent="0.2">
      <c r="A5" s="594" t="s">
        <v>216</v>
      </c>
      <c r="B5" s="596"/>
      <c r="C5" s="736" t="str">
        <f>Índex!F25</f>
        <v>Augmentar 5%</v>
      </c>
      <c r="D5" s="672"/>
      <c r="E5" s="732" t="s">
        <v>217</v>
      </c>
      <c r="F5" s="595"/>
      <c r="G5" s="733" t="s">
        <v>236</v>
      </c>
      <c r="H5" s="734"/>
      <c r="I5" s="738"/>
    </row>
    <row r="6" spans="1:9" x14ac:dyDescent="0.2">
      <c r="A6" s="594" t="s">
        <v>219</v>
      </c>
      <c r="B6" s="596"/>
      <c r="C6" s="674" t="s">
        <v>220</v>
      </c>
      <c r="D6" s="672"/>
      <c r="E6" s="594" t="s">
        <v>242</v>
      </c>
      <c r="F6" s="595"/>
      <c r="G6" s="12" t="str">
        <f>Índex!D25</f>
        <v xml:space="preserve"> Vicedegana d'Afers Acadèmics de Grau</v>
      </c>
      <c r="H6" s="39"/>
      <c r="I6" s="19"/>
    </row>
    <row r="7" spans="1:9" x14ac:dyDescent="0.2">
      <c r="A7" s="594" t="s">
        <v>222</v>
      </c>
      <c r="B7" s="596"/>
      <c r="C7" s="736" t="str">
        <f>Índex!G25</f>
        <v>PC2.01. Planificació i Programació d’Assignatures. Guies Docents</v>
      </c>
      <c r="D7" s="671"/>
      <c r="E7" s="671"/>
      <c r="F7" s="671"/>
      <c r="G7" s="641"/>
      <c r="H7" s="641"/>
      <c r="I7" s="642"/>
    </row>
    <row r="9" spans="1:9" x14ac:dyDescent="0.2">
      <c r="A9" s="594" t="s">
        <v>223</v>
      </c>
      <c r="B9" s="595"/>
      <c r="C9" s="595"/>
      <c r="D9" s="595"/>
      <c r="E9" s="595"/>
      <c r="F9" s="595"/>
      <c r="G9" s="595"/>
      <c r="H9" s="595"/>
      <c r="I9" s="596"/>
    </row>
    <row r="12" spans="1:9" ht="13.5" x14ac:dyDescent="0.2">
      <c r="A12" s="208"/>
      <c r="B12" s="94" t="s">
        <v>225</v>
      </c>
      <c r="C12" s="94" t="s">
        <v>226</v>
      </c>
      <c r="D12" s="94" t="s">
        <v>227</v>
      </c>
      <c r="E12" s="94" t="s">
        <v>228</v>
      </c>
      <c r="F12" s="94" t="s">
        <v>229</v>
      </c>
    </row>
    <row r="13" spans="1:9" ht="72" thickBot="1" x14ac:dyDescent="0.25">
      <c r="A13" s="31" t="s">
        <v>267</v>
      </c>
      <c r="B13" s="31">
        <v>14</v>
      </c>
      <c r="C13" s="31">
        <v>14</v>
      </c>
      <c r="D13" s="31">
        <v>16</v>
      </c>
      <c r="E13" s="31">
        <v>15</v>
      </c>
      <c r="F13" s="432">
        <v>16</v>
      </c>
    </row>
    <row r="14" spans="1:9" ht="43.5" thickBot="1" x14ac:dyDescent="0.25">
      <c r="A14" s="31" t="s">
        <v>280</v>
      </c>
      <c r="B14" s="31">
        <v>15</v>
      </c>
      <c r="C14" s="31">
        <v>15</v>
      </c>
      <c r="D14" s="31">
        <v>14</v>
      </c>
      <c r="E14" s="31">
        <v>15</v>
      </c>
      <c r="F14" s="432">
        <v>15</v>
      </c>
    </row>
    <row r="15" spans="1:9" ht="43.5" thickBot="1" x14ac:dyDescent="0.25">
      <c r="A15" s="31" t="s">
        <v>314</v>
      </c>
      <c r="B15" s="31">
        <v>0</v>
      </c>
      <c r="C15" s="31">
        <v>0</v>
      </c>
      <c r="D15" s="31">
        <v>0</v>
      </c>
      <c r="E15" s="31">
        <v>0</v>
      </c>
      <c r="F15" s="432">
        <v>0</v>
      </c>
    </row>
    <row r="16" spans="1:9" ht="43.5" thickBot="1" x14ac:dyDescent="0.25">
      <c r="A16" s="31" t="s">
        <v>315</v>
      </c>
      <c r="B16" s="31">
        <v>11</v>
      </c>
      <c r="C16" s="31">
        <v>13</v>
      </c>
      <c r="D16" s="31">
        <v>12</v>
      </c>
      <c r="E16" s="31">
        <v>12</v>
      </c>
      <c r="F16" s="432">
        <v>12</v>
      </c>
    </row>
    <row r="17" spans="1:11" ht="43.5" thickBot="1" x14ac:dyDescent="0.25">
      <c r="A17" s="31" t="s">
        <v>283</v>
      </c>
      <c r="B17" s="31">
        <v>15</v>
      </c>
      <c r="C17" s="31">
        <v>13</v>
      </c>
      <c r="D17" s="31">
        <v>16</v>
      </c>
      <c r="E17" s="31">
        <v>16</v>
      </c>
      <c r="F17" s="432">
        <v>9</v>
      </c>
    </row>
    <row r="18" spans="1:11" ht="29.25" thickBot="1" x14ac:dyDescent="0.25">
      <c r="A18" s="31" t="s">
        <v>271</v>
      </c>
      <c r="B18" s="31" t="s">
        <v>316</v>
      </c>
      <c r="C18" s="31">
        <v>5</v>
      </c>
      <c r="D18" s="31">
        <v>4</v>
      </c>
      <c r="E18" s="31" t="s">
        <v>317</v>
      </c>
      <c r="F18" s="432">
        <v>3</v>
      </c>
    </row>
    <row r="19" spans="1:11" ht="43.5" thickBot="1" x14ac:dyDescent="0.25">
      <c r="A19" s="31" t="s">
        <v>285</v>
      </c>
      <c r="B19" s="31">
        <v>8</v>
      </c>
      <c r="C19" s="31">
        <v>8</v>
      </c>
      <c r="D19" s="31">
        <v>6</v>
      </c>
      <c r="E19" s="31">
        <v>8</v>
      </c>
      <c r="F19" s="432">
        <v>8</v>
      </c>
    </row>
    <row r="20" spans="1:11" ht="14.25" x14ac:dyDescent="0.2">
      <c r="A20" s="31" t="s">
        <v>318</v>
      </c>
      <c r="B20" s="31">
        <f>SUM(B13:B19)</f>
        <v>63</v>
      </c>
      <c r="C20" s="31">
        <f>SUM(C13:C19)</f>
        <v>68</v>
      </c>
      <c r="D20" s="31">
        <f>SUM(D13:D19)</f>
        <v>68</v>
      </c>
      <c r="E20" s="31">
        <f>SUM(E13:E19)</f>
        <v>66</v>
      </c>
      <c r="F20" s="31">
        <f>SUM(F13:F19)</f>
        <v>63</v>
      </c>
    </row>
    <row r="21" spans="1:11" ht="14.25" x14ac:dyDescent="0.2">
      <c r="A21" s="31" t="s">
        <v>319</v>
      </c>
      <c r="B21" s="31" t="s">
        <v>237</v>
      </c>
      <c r="C21" s="31">
        <v>63</v>
      </c>
      <c r="D21" s="31">
        <v>68</v>
      </c>
      <c r="E21" s="31">
        <v>64</v>
      </c>
      <c r="F21" s="31">
        <v>66</v>
      </c>
    </row>
    <row r="22" spans="1:11" ht="14.25" x14ac:dyDescent="0.2">
      <c r="A22" s="31" t="s">
        <v>320</v>
      </c>
      <c r="B22" s="57" t="s">
        <v>317</v>
      </c>
      <c r="C22" s="41">
        <f>(C20-C21)/C21</f>
        <v>7.9365079365079361E-2</v>
      </c>
      <c r="D22" s="41">
        <f t="shared" ref="D22:F22" si="0">(D20-D21)/D21</f>
        <v>0</v>
      </c>
      <c r="E22" s="41">
        <f>6.4%</f>
        <v>6.4000000000000001E-2</v>
      </c>
      <c r="F22" s="41">
        <f t="shared" si="0"/>
        <v>-4.5454545454545456E-2</v>
      </c>
    </row>
    <row r="23" spans="1:11" ht="28.5" x14ac:dyDescent="0.2">
      <c r="A23" s="31" t="s">
        <v>321</v>
      </c>
      <c r="B23" s="57">
        <v>0.05</v>
      </c>
      <c r="C23" s="57">
        <v>0.05</v>
      </c>
      <c r="D23" s="57">
        <v>0.05</v>
      </c>
      <c r="E23" s="57">
        <v>0.05</v>
      </c>
      <c r="F23" s="57">
        <v>0.05</v>
      </c>
    </row>
    <row r="24" spans="1:11" ht="14.25" x14ac:dyDescent="0.2">
      <c r="A24" s="72" t="s">
        <v>232</v>
      </c>
      <c r="B24" s="31" t="s">
        <v>237</v>
      </c>
      <c r="C24" s="57">
        <v>1</v>
      </c>
      <c r="D24" s="57">
        <f t="shared" ref="D24:F24" si="1">D22/D23</f>
        <v>0</v>
      </c>
      <c r="E24" s="57">
        <v>1</v>
      </c>
      <c r="F24" s="57">
        <f t="shared" si="1"/>
        <v>-0.90909090909090906</v>
      </c>
    </row>
    <row r="26" spans="1:11" x14ac:dyDescent="0.2">
      <c r="A26" s="594" t="s">
        <v>233</v>
      </c>
      <c r="B26" s="595"/>
      <c r="C26" s="595"/>
      <c r="D26" s="596"/>
      <c r="H26" s="594" t="s">
        <v>234</v>
      </c>
      <c r="I26" s="595"/>
      <c r="J26" s="595"/>
      <c r="K26" s="596"/>
    </row>
    <row r="27" spans="1:11" ht="15" x14ac:dyDescent="0.2">
      <c r="G27" s="9"/>
      <c r="H27" s="9"/>
      <c r="I27" s="9"/>
      <c r="J27" s="9"/>
    </row>
    <row r="28" spans="1:11" x14ac:dyDescent="0.2">
      <c r="H28" s="715" t="s">
        <v>322</v>
      </c>
      <c r="I28" s="680"/>
      <c r="J28" s="680"/>
      <c r="K28" s="681"/>
    </row>
    <row r="29" spans="1:11" x14ac:dyDescent="0.2">
      <c r="H29" s="716"/>
      <c r="I29" s="717"/>
      <c r="J29" s="717"/>
      <c r="K29" s="718"/>
    </row>
    <row r="30" spans="1:11" x14ac:dyDescent="0.2">
      <c r="H30" s="716"/>
      <c r="I30" s="717"/>
      <c r="J30" s="717"/>
      <c r="K30" s="718"/>
    </row>
    <row r="31" spans="1:11" x14ac:dyDescent="0.2">
      <c r="H31" s="716"/>
      <c r="I31" s="717"/>
      <c r="J31" s="717"/>
      <c r="K31" s="718"/>
    </row>
    <row r="32" spans="1:11" x14ac:dyDescent="0.2">
      <c r="H32" s="716"/>
      <c r="I32" s="717"/>
      <c r="J32" s="717"/>
      <c r="K32" s="718"/>
    </row>
    <row r="33" spans="8:11" x14ac:dyDescent="0.2">
      <c r="H33" s="716"/>
      <c r="I33" s="717"/>
      <c r="J33" s="717"/>
      <c r="K33" s="718"/>
    </row>
    <row r="34" spans="8:11" x14ac:dyDescent="0.2">
      <c r="H34" s="716"/>
      <c r="I34" s="717"/>
      <c r="J34" s="717"/>
      <c r="K34" s="718"/>
    </row>
    <row r="35" spans="8:11" x14ac:dyDescent="0.2">
      <c r="H35" s="716"/>
      <c r="I35" s="717"/>
      <c r="J35" s="717"/>
      <c r="K35" s="718"/>
    </row>
    <row r="36" spans="8:11" x14ac:dyDescent="0.2">
      <c r="H36" s="719"/>
      <c r="I36" s="720"/>
      <c r="J36" s="720"/>
      <c r="K36" s="721"/>
    </row>
  </sheetData>
  <sheetProtection sheet="1" formatCells="0" formatColumns="0" formatRows="0" insertColumns="0" insertRows="0" insertHyperlinks="0" deleteColumns="0" deleteRows="0" pivotTables="0"/>
  <mergeCells count="19">
    <mergeCell ref="H28:K36"/>
    <mergeCell ref="A26:D26"/>
    <mergeCell ref="H26:K26"/>
    <mergeCell ref="A7:B7"/>
    <mergeCell ref="C7:I7"/>
    <mergeCell ref="A9:I9"/>
    <mergeCell ref="A5:B5"/>
    <mergeCell ref="C5:D5"/>
    <mergeCell ref="E5:F5"/>
    <mergeCell ref="G5:I5"/>
    <mergeCell ref="A6:B6"/>
    <mergeCell ref="C6:D6"/>
    <mergeCell ref="E6:F6"/>
    <mergeCell ref="A2:C2"/>
    <mergeCell ref="D2:I2"/>
    <mergeCell ref="A4:B4"/>
    <mergeCell ref="C4:D4"/>
    <mergeCell ref="E4:F4"/>
    <mergeCell ref="G4:I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48762-FB49-43FE-95ED-AA53B86C9602}">
  <sheetPr>
    <tabColor theme="9" tint="-0.499984740745262"/>
    <pageSetUpPr fitToPage="1"/>
  </sheetPr>
  <dimension ref="B2:K31"/>
  <sheetViews>
    <sheetView showGridLines="0" topLeftCell="A22" workbookViewId="0">
      <selection activeCell="J26" sqref="J26"/>
    </sheetView>
  </sheetViews>
  <sheetFormatPr defaultColWidth="12.5703125" defaultRowHeight="15.75" customHeight="1" x14ac:dyDescent="0.2"/>
  <cols>
    <col min="1" max="1" width="3.42578125" customWidth="1"/>
    <col min="2" max="2" width="14.140625" customWidth="1"/>
    <col min="3" max="3" width="12.5703125" customWidth="1"/>
    <col min="4" max="4" width="17.28515625" bestFit="1" customWidth="1"/>
    <col min="5" max="9" width="12.5703125" customWidth="1"/>
    <col min="10" max="10" width="36.28515625" customWidth="1"/>
    <col min="11" max="11" width="51.42578125" customWidth="1"/>
    <col min="12" max="21" width="7.5703125" customWidth="1"/>
  </cols>
  <sheetData>
    <row r="2" spans="2:11" ht="55.5" customHeight="1" x14ac:dyDescent="0.2">
      <c r="B2" s="670"/>
      <c r="C2" s="671"/>
      <c r="D2" s="672"/>
      <c r="E2" s="673" t="s">
        <v>213</v>
      </c>
      <c r="F2" s="671"/>
      <c r="G2" s="671"/>
      <c r="H2" s="671"/>
      <c r="I2" s="671"/>
      <c r="J2" s="672"/>
      <c r="K2" s="3"/>
    </row>
    <row r="3" spans="2:11" ht="22.5" customHeight="1" x14ac:dyDescent="0.2">
      <c r="B3" s="46"/>
      <c r="C3" s="46"/>
      <c r="D3" s="47"/>
      <c r="E3" s="47"/>
      <c r="F3" s="47"/>
      <c r="G3" s="47"/>
      <c r="H3" s="47"/>
      <c r="I3" s="47"/>
    </row>
    <row r="4" spans="2:11" ht="42" customHeight="1" x14ac:dyDescent="0.2">
      <c r="B4" s="594" t="s">
        <v>214</v>
      </c>
      <c r="C4" s="596"/>
      <c r="D4" s="674" t="str">
        <f>Índex!B26</f>
        <v>PC2.02_Ind01.</v>
      </c>
      <c r="E4" s="672"/>
      <c r="F4" s="594" t="s">
        <v>215</v>
      </c>
      <c r="G4" s="596"/>
      <c r="H4" s="674" t="str">
        <f>Índex!C26</f>
        <v>Grau de satisfacció dels/de les estudiants amb el TFE, segons les enquestes d’avaluació corresponents (enquesta titulats)</v>
      </c>
      <c r="I4" s="749"/>
      <c r="J4" s="750"/>
    </row>
    <row r="5" spans="2:11" ht="22.5" customHeight="1" x14ac:dyDescent="0.2">
      <c r="B5" s="594" t="s">
        <v>323</v>
      </c>
      <c r="C5" s="596"/>
      <c r="D5" s="674" t="str">
        <f>Índex!F26</f>
        <v>≥3,5</v>
      </c>
      <c r="E5" s="672"/>
      <c r="F5" s="677" t="s">
        <v>217</v>
      </c>
      <c r="G5" s="678"/>
      <c r="H5" s="746" t="s">
        <v>241</v>
      </c>
      <c r="I5" s="747"/>
      <c r="J5" s="748"/>
    </row>
    <row r="6" spans="2:11" ht="22.5" customHeight="1" x14ac:dyDescent="0.2">
      <c r="B6" s="594" t="s">
        <v>219</v>
      </c>
      <c r="C6" s="596"/>
      <c r="D6" s="674" t="s">
        <v>220</v>
      </c>
      <c r="E6" s="672"/>
      <c r="F6" s="594" t="s">
        <v>242</v>
      </c>
      <c r="G6" s="596"/>
      <c r="H6" s="107" t="str">
        <f>Índex!E26</f>
        <v>Gestora de Qualitat</v>
      </c>
      <c r="J6" s="108"/>
    </row>
    <row r="7" spans="2:11" ht="22.5" customHeight="1" x14ac:dyDescent="0.2">
      <c r="B7" s="594" t="s">
        <v>222</v>
      </c>
      <c r="C7" s="596"/>
      <c r="D7" s="674" t="str">
        <f>Índex!G26</f>
        <v>PC2.02. Programació de Treball de Fi d'Estudis (TFE)</v>
      </c>
      <c r="E7" s="671"/>
      <c r="F7" s="671"/>
      <c r="G7" s="671"/>
      <c r="H7" s="671"/>
      <c r="I7" s="671"/>
      <c r="J7" s="672"/>
    </row>
    <row r="8" spans="2:11" ht="7.5" customHeight="1" x14ac:dyDescent="0.2"/>
    <row r="9" spans="2:11" ht="22.5" customHeight="1" x14ac:dyDescent="0.2">
      <c r="B9" s="594" t="s">
        <v>223</v>
      </c>
      <c r="C9" s="595"/>
      <c r="D9" s="595"/>
      <c r="E9" s="595"/>
      <c r="F9" s="595"/>
      <c r="G9" s="595"/>
      <c r="H9" s="595"/>
      <c r="I9" s="595"/>
      <c r="J9" s="596"/>
    </row>
    <row r="10" spans="2:11" ht="22.5" customHeight="1" x14ac:dyDescent="0.2">
      <c r="B10" s="14"/>
      <c r="C10" s="13"/>
      <c r="D10" s="13"/>
      <c r="E10" s="13"/>
      <c r="F10" s="13"/>
      <c r="G10" s="13"/>
      <c r="H10" s="13"/>
      <c r="I10" s="13"/>
      <c r="J10" s="13"/>
    </row>
    <row r="11" spans="2:11" ht="22.5" customHeight="1" x14ac:dyDescent="0.2"/>
    <row r="12" spans="2:11" ht="22.5" customHeight="1" x14ac:dyDescent="0.2">
      <c r="B12" s="16"/>
      <c r="C12" s="16"/>
      <c r="D12" s="103" t="s">
        <v>224</v>
      </c>
      <c r="E12" s="103" t="s">
        <v>225</v>
      </c>
      <c r="F12" s="103" t="s">
        <v>226</v>
      </c>
      <c r="G12" s="103" t="s">
        <v>227</v>
      </c>
      <c r="H12" s="103" t="s">
        <v>228</v>
      </c>
      <c r="I12" s="103" t="s">
        <v>229</v>
      </c>
      <c r="K12" s="24"/>
    </row>
    <row r="13" spans="2:11" ht="95.25" customHeight="1" x14ac:dyDescent="0.2">
      <c r="B13" s="695" t="s">
        <v>324</v>
      </c>
      <c r="C13" s="695"/>
      <c r="D13" s="100">
        <v>3.9</v>
      </c>
      <c r="E13" s="100">
        <v>3.95</v>
      </c>
      <c r="F13" s="100">
        <v>3.91</v>
      </c>
      <c r="G13" s="100">
        <v>3.7</v>
      </c>
      <c r="H13" s="36">
        <v>4.08</v>
      </c>
      <c r="I13" s="36" t="s">
        <v>260</v>
      </c>
    </row>
    <row r="14" spans="2:11" ht="22.5" customHeight="1" x14ac:dyDescent="0.25">
      <c r="B14" s="687" t="str">
        <f>D5</f>
        <v>≥3,5</v>
      </c>
      <c r="C14" s="687"/>
      <c r="D14" s="53">
        <f>COUNTIF(D13:D13,"&gt;=3,5")</f>
        <v>1</v>
      </c>
      <c r="E14" s="53">
        <f t="shared" ref="E14:G14" si="0">COUNTIF(E13:E13,"&gt;=3,5")</f>
        <v>1</v>
      </c>
      <c r="F14" s="53">
        <f t="shared" si="0"/>
        <v>1</v>
      </c>
      <c r="G14" s="53">
        <f t="shared" si="0"/>
        <v>1</v>
      </c>
      <c r="H14" s="36" t="s">
        <v>325</v>
      </c>
      <c r="I14" s="36" t="s">
        <v>325</v>
      </c>
      <c r="J14" s="9"/>
      <c r="K14" s="368" t="s">
        <v>234</v>
      </c>
    </row>
    <row r="15" spans="2:11" ht="22.5" customHeight="1" x14ac:dyDescent="0.25">
      <c r="B15" s="689" t="s">
        <v>274</v>
      </c>
      <c r="C15" s="689"/>
      <c r="D15" s="53">
        <f>COUNT(D13:D13)</f>
        <v>1</v>
      </c>
      <c r="E15" s="53">
        <f>COUNT(E13:E13)</f>
        <v>1</v>
      </c>
      <c r="F15" s="53">
        <f>COUNT(F13:F13)</f>
        <v>1</v>
      </c>
      <c r="G15" s="53">
        <f>COUNT(G13:G13)</f>
        <v>1</v>
      </c>
      <c r="H15" s="36" t="s">
        <v>326</v>
      </c>
      <c r="I15" s="36" t="s">
        <v>326</v>
      </c>
    </row>
    <row r="16" spans="2:11" ht="22.5" customHeight="1" x14ac:dyDescent="0.2">
      <c r="B16" s="685" t="s">
        <v>231</v>
      </c>
      <c r="C16" s="735"/>
      <c r="D16" s="179">
        <v>3.5</v>
      </c>
      <c r="E16" s="179">
        <v>3.5</v>
      </c>
      <c r="F16" s="179">
        <v>3.5</v>
      </c>
      <c r="G16" s="179">
        <v>3.5</v>
      </c>
      <c r="H16" s="179">
        <v>3.5</v>
      </c>
      <c r="I16" s="179">
        <v>3.5</v>
      </c>
      <c r="K16" s="745" t="s">
        <v>327</v>
      </c>
    </row>
    <row r="17" spans="2:11" ht="22.5" customHeight="1" x14ac:dyDescent="0.2">
      <c r="B17" s="685" t="s">
        <v>232</v>
      </c>
      <c r="C17" s="735"/>
      <c r="D17" s="106">
        <f>D14/D15</f>
        <v>1</v>
      </c>
      <c r="E17" s="106">
        <f>E14/E15</f>
        <v>1</v>
      </c>
      <c r="F17" s="106">
        <f>F14/F15</f>
        <v>1</v>
      </c>
      <c r="G17" s="106">
        <f>G14/G15</f>
        <v>1</v>
      </c>
      <c r="H17" s="138">
        <v>1</v>
      </c>
      <c r="I17" s="138">
        <v>1</v>
      </c>
      <c r="K17" s="745"/>
    </row>
    <row r="18" spans="2:11" ht="22.5" customHeight="1" x14ac:dyDescent="0.25">
      <c r="B18" s="7"/>
      <c r="C18" s="7"/>
      <c r="D18" s="6"/>
      <c r="E18" s="6"/>
      <c r="F18" s="6"/>
      <c r="G18" s="6"/>
      <c r="H18" s="6"/>
      <c r="I18" s="6"/>
      <c r="K18" s="745"/>
    </row>
    <row r="19" spans="2:11" ht="22.5" customHeight="1" x14ac:dyDescent="0.2">
      <c r="B19" s="594" t="s">
        <v>233</v>
      </c>
      <c r="C19" s="595"/>
      <c r="D19" s="595"/>
      <c r="E19" s="596"/>
      <c r="F19" s="8"/>
      <c r="K19" s="745"/>
    </row>
    <row r="20" spans="2:11" ht="22.5" customHeight="1" x14ac:dyDescent="0.2">
      <c r="B20" s="8"/>
      <c r="C20" s="8"/>
      <c r="D20" s="8"/>
      <c r="E20" s="8"/>
      <c r="F20" s="8"/>
      <c r="K20" s="745"/>
    </row>
    <row r="21" spans="2:11" ht="6" customHeight="1" x14ac:dyDescent="0.2">
      <c r="B21" s="8"/>
      <c r="C21" s="8"/>
      <c r="D21" s="8"/>
      <c r="E21" s="8"/>
      <c r="F21" s="8"/>
      <c r="K21" s="745"/>
    </row>
    <row r="22" spans="2:11" ht="19.5" customHeight="1" x14ac:dyDescent="0.2">
      <c r="B22" s="8"/>
      <c r="C22" s="8"/>
      <c r="D22" s="8"/>
      <c r="E22" s="8"/>
      <c r="F22" s="8"/>
      <c r="K22" s="745"/>
    </row>
    <row r="23" spans="2:11" ht="19.5" customHeight="1" x14ac:dyDescent="0.2">
      <c r="B23" s="8"/>
      <c r="C23" s="8"/>
      <c r="D23" s="8"/>
      <c r="E23" s="8"/>
      <c r="F23" s="8"/>
      <c r="K23" s="745"/>
    </row>
    <row r="24" spans="2:11" ht="19.5" customHeight="1" x14ac:dyDescent="0.2">
      <c r="B24" s="8"/>
      <c r="C24" s="8"/>
      <c r="D24" s="8"/>
      <c r="E24" s="8"/>
      <c r="F24" s="8"/>
      <c r="K24" s="745"/>
    </row>
    <row r="25" spans="2:11" ht="19.5" customHeight="1" x14ac:dyDescent="0.2">
      <c r="B25" s="8"/>
      <c r="C25" s="8"/>
      <c r="D25" s="8"/>
      <c r="E25" s="8"/>
      <c r="F25" s="8"/>
    </row>
    <row r="26" spans="2:11" ht="19.5" customHeight="1" x14ac:dyDescent="0.2">
      <c r="B26" s="8"/>
      <c r="C26" s="8"/>
      <c r="D26" s="8"/>
      <c r="E26" s="8"/>
      <c r="F26" s="8"/>
    </row>
    <row r="27" spans="2:11" ht="19.5" customHeight="1" x14ac:dyDescent="0.2">
      <c r="B27" s="8"/>
      <c r="C27" s="8"/>
      <c r="D27" s="8"/>
      <c r="E27" s="8"/>
      <c r="F27" s="8"/>
    </row>
    <row r="28" spans="2:11" ht="19.5" customHeight="1" x14ac:dyDescent="0.2">
      <c r="B28" s="8"/>
      <c r="C28" s="8"/>
      <c r="D28" s="8"/>
      <c r="E28" s="8"/>
      <c r="F28" s="8"/>
    </row>
    <row r="29" spans="2:11" ht="19.5" customHeight="1" x14ac:dyDescent="0.2">
      <c r="B29" s="8"/>
      <c r="C29" s="8"/>
      <c r="D29" s="8"/>
      <c r="E29" s="8"/>
      <c r="F29" s="8"/>
    </row>
    <row r="30" spans="2:11" ht="19.5" customHeight="1" x14ac:dyDescent="0.2"/>
    <row r="31" spans="2:11" ht="19.5" customHeight="1" x14ac:dyDescent="0.2">
      <c r="H31" s="588" t="s">
        <v>172</v>
      </c>
      <c r="I31" s="589"/>
      <c r="J31" s="589"/>
    </row>
  </sheetData>
  <sheetProtection sheet="1" formatCells="0" formatColumns="0" formatRows="0" insertColumns="0" insertRows="0" insertHyperlinks="0" deleteColumns="0" deleteRows="0" pivotTables="0"/>
  <mergeCells count="24">
    <mergeCell ref="B2:D2"/>
    <mergeCell ref="E2:J2"/>
    <mergeCell ref="B4:C4"/>
    <mergeCell ref="D4:E4"/>
    <mergeCell ref="F4:G4"/>
    <mergeCell ref="H4:J4"/>
    <mergeCell ref="K16:K24"/>
    <mergeCell ref="B9:J9"/>
    <mergeCell ref="B7:C7"/>
    <mergeCell ref="D7:J7"/>
    <mergeCell ref="B5:C5"/>
    <mergeCell ref="D5:E5"/>
    <mergeCell ref="F5:G5"/>
    <mergeCell ref="H5:J5"/>
    <mergeCell ref="B6:C6"/>
    <mergeCell ref="D6:E6"/>
    <mergeCell ref="F6:G6"/>
    <mergeCell ref="H31:J31"/>
    <mergeCell ref="B13:C13"/>
    <mergeCell ref="B14:C14"/>
    <mergeCell ref="B15:C15"/>
    <mergeCell ref="B16:C16"/>
    <mergeCell ref="B17:C17"/>
    <mergeCell ref="B19:E19"/>
  </mergeCells>
  <pageMargins left="0.7" right="0.7" top="0.75" bottom="0.75" header="0" footer="0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C493A-05CF-4F1C-9C8E-F142AA4154F7}">
  <sheetPr>
    <tabColor theme="9" tint="-0.499984740745262"/>
    <pageSetUpPr fitToPage="1"/>
  </sheetPr>
  <dimension ref="B2:N37"/>
  <sheetViews>
    <sheetView showGridLines="0" topLeftCell="A18" workbookViewId="0">
      <selection activeCell="J20" sqref="J20"/>
    </sheetView>
  </sheetViews>
  <sheetFormatPr defaultColWidth="12.5703125" defaultRowHeight="15.75" customHeight="1" x14ac:dyDescent="0.2"/>
  <cols>
    <col min="1" max="1" width="3.42578125" customWidth="1"/>
    <col min="2" max="2" width="14.140625" customWidth="1"/>
    <col min="3" max="3" width="12.5703125" customWidth="1"/>
    <col min="4" max="4" width="17.28515625" bestFit="1" customWidth="1"/>
    <col min="5" max="9" width="12.5703125" customWidth="1"/>
    <col min="10" max="10" width="36.28515625" customWidth="1"/>
    <col min="11" max="11" width="8.85546875" customWidth="1"/>
    <col min="12" max="21" width="7.5703125" customWidth="1"/>
  </cols>
  <sheetData>
    <row r="2" spans="2:10" ht="55.5" customHeight="1" x14ac:dyDescent="0.2">
      <c r="B2" s="670"/>
      <c r="C2" s="671"/>
      <c r="D2" s="672"/>
      <c r="E2" s="673" t="s">
        <v>213</v>
      </c>
      <c r="F2" s="671"/>
      <c r="G2" s="671"/>
      <c r="H2" s="671"/>
      <c r="I2" s="671"/>
      <c r="J2" s="672"/>
    </row>
    <row r="3" spans="2:10" ht="22.5" customHeight="1" x14ac:dyDescent="0.2">
      <c r="B3" s="46"/>
      <c r="C3" s="46"/>
      <c r="D3" s="47"/>
      <c r="E3" s="47"/>
      <c r="F3" s="47"/>
      <c r="G3" s="47"/>
      <c r="H3" s="47"/>
      <c r="I3" s="47"/>
    </row>
    <row r="4" spans="2:10" ht="42" customHeight="1" x14ac:dyDescent="0.2">
      <c r="B4" s="594" t="s">
        <v>214</v>
      </c>
      <c r="C4" s="596"/>
      <c r="D4" s="674" t="str">
        <f>Índex!B27</f>
        <v>PC2.03_Ind01.</v>
      </c>
      <c r="E4" s="672"/>
      <c r="F4" s="594" t="s">
        <v>215</v>
      </c>
      <c r="G4" s="596"/>
      <c r="H4" s="674" t="str">
        <f>Índex!C27</f>
        <v xml:space="preserve"> Nombre mínim d’entitats col·laboradores en el marc de PE, per curs acadèmic i titulació</v>
      </c>
      <c r="I4" s="671"/>
      <c r="J4" s="672"/>
    </row>
    <row r="5" spans="2:10" ht="22.5" customHeight="1" x14ac:dyDescent="0.2">
      <c r="B5" s="594" t="s">
        <v>216</v>
      </c>
      <c r="C5" s="596"/>
      <c r="D5" s="674">
        <f>Índex!F27</f>
        <v>10</v>
      </c>
      <c r="E5" s="672"/>
      <c r="F5" s="732" t="s">
        <v>217</v>
      </c>
      <c r="G5" s="596"/>
      <c r="H5" s="675" t="s">
        <v>241</v>
      </c>
      <c r="I5" s="767"/>
      <c r="J5" s="681"/>
    </row>
    <row r="6" spans="2:10" ht="22.5" customHeight="1" x14ac:dyDescent="0.2">
      <c r="B6" s="594" t="s">
        <v>219</v>
      </c>
      <c r="C6" s="596"/>
      <c r="D6" s="674" t="s">
        <v>220</v>
      </c>
      <c r="E6" s="672"/>
      <c r="F6" s="594" t="s">
        <v>242</v>
      </c>
      <c r="G6" s="596"/>
      <c r="H6" s="12" t="str">
        <f>Índex!E27</f>
        <v xml:space="preserve">Persona responsable de convenis i pràctiques dins la Gestió Acadèmica </v>
      </c>
      <c r="J6" s="17"/>
    </row>
    <row r="7" spans="2:10" ht="22.5" customHeight="1" x14ac:dyDescent="0.2">
      <c r="B7" s="594" t="s">
        <v>222</v>
      </c>
      <c r="C7" s="596"/>
      <c r="D7" s="674" t="str">
        <f>Índex!G27</f>
        <v>PC2.03 Programació de Pràctiques Externes (PE)</v>
      </c>
      <c r="E7" s="671"/>
      <c r="F7" s="671"/>
      <c r="G7" s="671"/>
      <c r="H7" s="671"/>
      <c r="I7" s="671"/>
      <c r="J7" s="672"/>
    </row>
    <row r="8" spans="2:10" ht="7.5" customHeight="1" x14ac:dyDescent="0.2"/>
    <row r="9" spans="2:10" ht="22.5" customHeight="1" x14ac:dyDescent="0.2">
      <c r="B9" s="594" t="s">
        <v>223</v>
      </c>
      <c r="C9" s="595"/>
      <c r="D9" s="595"/>
      <c r="E9" s="595"/>
      <c r="F9" s="595"/>
      <c r="G9" s="595"/>
      <c r="H9" s="595"/>
      <c r="I9" s="595"/>
      <c r="J9" s="596"/>
    </row>
    <row r="10" spans="2:10" ht="22.5" customHeight="1" x14ac:dyDescent="0.2">
      <c r="B10" s="20" t="s">
        <v>172</v>
      </c>
      <c r="C10" s="13"/>
      <c r="D10" s="13"/>
      <c r="E10" s="13"/>
      <c r="F10" s="13"/>
      <c r="G10" s="13"/>
      <c r="H10" s="13"/>
      <c r="I10" s="13"/>
      <c r="J10" s="13"/>
    </row>
    <row r="11" spans="2:10" ht="22.5" customHeight="1" x14ac:dyDescent="0.2"/>
    <row r="12" spans="2:10" ht="22.5" customHeight="1" thickBot="1" x14ac:dyDescent="0.25">
      <c r="B12" s="16"/>
      <c r="C12" s="16"/>
      <c r="D12" s="105" t="s">
        <v>224</v>
      </c>
      <c r="E12" s="105" t="s">
        <v>225</v>
      </c>
      <c r="F12" s="105" t="s">
        <v>226</v>
      </c>
      <c r="G12" s="105" t="s">
        <v>227</v>
      </c>
      <c r="H12" s="103" t="s">
        <v>228</v>
      </c>
      <c r="I12" s="103" t="s">
        <v>229</v>
      </c>
    </row>
    <row r="13" spans="2:10" ht="41.25" customHeight="1" thickBot="1" x14ac:dyDescent="0.25">
      <c r="B13" s="695" t="s">
        <v>244</v>
      </c>
      <c r="C13" s="751"/>
      <c r="D13" s="44">
        <v>41</v>
      </c>
      <c r="E13" s="44">
        <v>40</v>
      </c>
      <c r="F13" s="44">
        <v>27</v>
      </c>
      <c r="G13" s="44">
        <v>34</v>
      </c>
      <c r="H13" s="44">
        <v>32</v>
      </c>
      <c r="I13" s="433">
        <v>38</v>
      </c>
    </row>
    <row r="14" spans="2:10" ht="41.25" customHeight="1" thickBot="1" x14ac:dyDescent="0.25">
      <c r="B14" s="695" t="s">
        <v>293</v>
      </c>
      <c r="C14" s="751"/>
      <c r="D14" s="44">
        <v>13</v>
      </c>
      <c r="E14" s="44">
        <v>14</v>
      </c>
      <c r="F14" s="44">
        <v>9</v>
      </c>
      <c r="G14" s="44">
        <v>19</v>
      </c>
      <c r="H14" s="44">
        <v>13</v>
      </c>
      <c r="I14" s="434">
        <v>24</v>
      </c>
    </row>
    <row r="15" spans="2:10" ht="41.25" customHeight="1" thickBot="1" x14ac:dyDescent="0.25">
      <c r="B15" s="695" t="s">
        <v>247</v>
      </c>
      <c r="C15" s="751"/>
      <c r="D15" s="44">
        <v>35</v>
      </c>
      <c r="E15" s="44">
        <v>30</v>
      </c>
      <c r="F15" s="44">
        <v>17</v>
      </c>
      <c r="G15" s="44">
        <v>29</v>
      </c>
      <c r="H15" s="44">
        <v>25</v>
      </c>
      <c r="I15" s="434">
        <v>31</v>
      </c>
    </row>
    <row r="16" spans="2:10" ht="41.25" customHeight="1" thickBot="1" x14ac:dyDescent="0.25">
      <c r="B16" s="754" t="s">
        <v>250</v>
      </c>
      <c r="C16" s="755"/>
      <c r="D16" s="44">
        <v>38</v>
      </c>
      <c r="E16" s="44">
        <v>33</v>
      </c>
      <c r="F16" s="44">
        <v>24</v>
      </c>
      <c r="G16" s="44">
        <v>28</v>
      </c>
      <c r="H16" s="44">
        <v>26</v>
      </c>
      <c r="I16" s="434">
        <v>23</v>
      </c>
    </row>
    <row r="17" spans="2:14" ht="41.25" customHeight="1" thickBot="1" x14ac:dyDescent="0.25">
      <c r="B17" s="695" t="s">
        <v>252</v>
      </c>
      <c r="C17" s="751"/>
      <c r="D17" s="44">
        <v>26</v>
      </c>
      <c r="E17" s="44">
        <v>29</v>
      </c>
      <c r="F17" s="44">
        <v>20</v>
      </c>
      <c r="G17" s="44">
        <v>30</v>
      </c>
      <c r="H17" s="44">
        <v>37</v>
      </c>
      <c r="I17" s="434">
        <v>26</v>
      </c>
      <c r="K17" s="18"/>
    </row>
    <row r="18" spans="2:14" ht="41.25" customHeight="1" thickBot="1" x14ac:dyDescent="0.25">
      <c r="B18" s="751" t="s">
        <v>251</v>
      </c>
      <c r="C18" s="756"/>
      <c r="D18" s="44" t="s">
        <v>237</v>
      </c>
      <c r="E18" s="44" t="s">
        <v>237</v>
      </c>
      <c r="F18" s="44" t="s">
        <v>237</v>
      </c>
      <c r="G18" s="44" t="s">
        <v>237</v>
      </c>
      <c r="H18" s="44">
        <v>11</v>
      </c>
      <c r="I18" s="434">
        <v>21</v>
      </c>
      <c r="K18" s="18"/>
    </row>
    <row r="19" spans="2:14" ht="41.25" customHeight="1" thickBot="1" x14ac:dyDescent="0.25">
      <c r="B19" s="695" t="s">
        <v>294</v>
      </c>
      <c r="C19" s="751"/>
      <c r="D19" s="44">
        <v>47</v>
      </c>
      <c r="E19" s="44">
        <v>18</v>
      </c>
      <c r="F19" s="44">
        <v>16</v>
      </c>
      <c r="G19" s="44">
        <v>19</v>
      </c>
      <c r="H19" s="44">
        <v>12</v>
      </c>
      <c r="I19" s="434">
        <v>18</v>
      </c>
      <c r="K19" s="18"/>
    </row>
    <row r="20" spans="2:14" ht="41.25" customHeight="1" thickBot="1" x14ac:dyDescent="0.25">
      <c r="B20" s="752" t="s">
        <v>328</v>
      </c>
      <c r="C20" s="753"/>
      <c r="D20" s="144">
        <v>38</v>
      </c>
      <c r="E20" s="144">
        <v>40</v>
      </c>
      <c r="F20" s="144">
        <v>24</v>
      </c>
      <c r="G20" s="144">
        <v>31</v>
      </c>
      <c r="H20" s="44">
        <v>32</v>
      </c>
      <c r="I20" s="435">
        <v>44</v>
      </c>
      <c r="K20" s="18"/>
    </row>
    <row r="21" spans="2:14" ht="41.25" customHeight="1" thickBot="1" x14ac:dyDescent="0.25">
      <c r="B21" s="757" t="s">
        <v>329</v>
      </c>
      <c r="C21" s="758"/>
      <c r="D21" s="212">
        <v>10</v>
      </c>
      <c r="E21" s="212">
        <v>10</v>
      </c>
      <c r="F21" s="212">
        <v>10</v>
      </c>
      <c r="G21" s="212">
        <v>10</v>
      </c>
      <c r="H21" s="212">
        <v>10</v>
      </c>
      <c r="I21" s="436">
        <v>10</v>
      </c>
      <c r="K21" s="175" t="s">
        <v>234</v>
      </c>
      <c r="L21" s="176"/>
      <c r="M21" s="147"/>
      <c r="N21" s="146"/>
    </row>
    <row r="22" spans="2:14" ht="41.25" customHeight="1" thickBot="1" x14ac:dyDescent="0.25">
      <c r="B22" s="695" t="s">
        <v>330</v>
      </c>
      <c r="C22" s="695"/>
      <c r="D22" s="44">
        <f>COUNTIF(D13:D20,"&gt;=10")</f>
        <v>7</v>
      </c>
      <c r="E22" s="44">
        <f t="shared" ref="E22:H22" si="0">COUNTIF(E13:E20,"&gt;=10")</f>
        <v>7</v>
      </c>
      <c r="F22" s="44">
        <f t="shared" si="0"/>
        <v>6</v>
      </c>
      <c r="G22" s="44">
        <f t="shared" si="0"/>
        <v>7</v>
      </c>
      <c r="H22" s="44">
        <f t="shared" si="0"/>
        <v>8</v>
      </c>
      <c r="I22" s="434">
        <v>8</v>
      </c>
      <c r="J22" s="9"/>
      <c r="K22" s="9"/>
      <c r="L22" s="9"/>
      <c r="M22" s="9"/>
    </row>
    <row r="23" spans="2:14" ht="22.5" customHeight="1" thickBot="1" x14ac:dyDescent="0.3">
      <c r="B23" s="158" t="s">
        <v>331</v>
      </c>
      <c r="C23" s="158"/>
      <c r="D23" s="317">
        <f>COUNT(D13:D20)</f>
        <v>7</v>
      </c>
      <c r="E23" s="317">
        <f t="shared" ref="E23:H23" si="1">COUNT(E13:E20)</f>
        <v>7</v>
      </c>
      <c r="F23" s="317">
        <f t="shared" si="1"/>
        <v>7</v>
      </c>
      <c r="G23" s="317">
        <f t="shared" si="1"/>
        <v>7</v>
      </c>
      <c r="H23" s="317">
        <f t="shared" si="1"/>
        <v>8</v>
      </c>
      <c r="I23" s="160">
        <v>8</v>
      </c>
      <c r="K23" s="759"/>
      <c r="L23" s="760"/>
      <c r="M23" s="760"/>
      <c r="N23" s="761"/>
    </row>
    <row r="24" spans="2:14" ht="22.5" customHeight="1" x14ac:dyDescent="0.25">
      <c r="B24" s="213" t="s">
        <v>240</v>
      </c>
      <c r="C24" s="213"/>
      <c r="D24" s="380">
        <f>D22/D23</f>
        <v>1</v>
      </c>
      <c r="E24" s="380">
        <f t="shared" ref="E24:I24" si="2">E22/E23</f>
        <v>1</v>
      </c>
      <c r="F24" s="380">
        <f t="shared" si="2"/>
        <v>0.8571428571428571</v>
      </c>
      <c r="G24" s="380">
        <f t="shared" si="2"/>
        <v>1</v>
      </c>
      <c r="H24" s="380">
        <f t="shared" si="2"/>
        <v>1</v>
      </c>
      <c r="I24" s="380">
        <f t="shared" si="2"/>
        <v>1</v>
      </c>
      <c r="K24" s="762"/>
      <c r="L24" s="763"/>
      <c r="M24" s="763"/>
      <c r="N24" s="764"/>
    </row>
    <row r="25" spans="2:14" ht="22.5" customHeight="1" x14ac:dyDescent="0.2">
      <c r="B25" s="765" t="s">
        <v>332</v>
      </c>
      <c r="C25" s="766"/>
      <c r="D25" s="766"/>
      <c r="E25" s="766"/>
      <c r="F25" s="8"/>
      <c r="K25" s="762"/>
      <c r="L25" s="763"/>
      <c r="M25" s="763"/>
      <c r="N25" s="764"/>
    </row>
    <row r="26" spans="2:14" ht="22.5" customHeight="1" x14ac:dyDescent="0.2">
      <c r="B26" s="594" t="s">
        <v>233</v>
      </c>
      <c r="C26" s="595"/>
      <c r="D26" s="595"/>
      <c r="E26" s="596"/>
      <c r="F26" s="8"/>
      <c r="K26" s="762"/>
      <c r="L26" s="763"/>
      <c r="M26" s="763"/>
      <c r="N26" s="764"/>
    </row>
    <row r="27" spans="2:14" ht="6" customHeight="1" x14ac:dyDescent="0.2">
      <c r="B27" s="8"/>
      <c r="C27" s="8"/>
      <c r="D27" s="8"/>
      <c r="E27" s="8"/>
      <c r="F27" s="8"/>
      <c r="K27" s="762"/>
      <c r="L27" s="763"/>
      <c r="M27" s="763"/>
      <c r="N27" s="764"/>
    </row>
    <row r="28" spans="2:14" ht="19.5" customHeight="1" x14ac:dyDescent="0.2">
      <c r="B28" s="8"/>
      <c r="C28" s="8"/>
      <c r="D28" s="8"/>
      <c r="E28" s="8"/>
      <c r="F28" s="8"/>
      <c r="K28" s="762"/>
      <c r="L28" s="763"/>
      <c r="M28" s="763"/>
      <c r="N28" s="764"/>
    </row>
    <row r="37" spans="8:10" ht="19.5" customHeight="1" x14ac:dyDescent="0.2">
      <c r="H37" s="588" t="s">
        <v>172</v>
      </c>
      <c r="I37" s="589"/>
      <c r="J37" s="589"/>
    </row>
  </sheetData>
  <sheetProtection sheet="1" formatCells="0" formatColumns="0" formatRows="0" insertColumns="0" insertRows="0" insertHyperlinks="0" deleteColumns="0" deleteRows="0" pivotTables="0"/>
  <mergeCells count="30">
    <mergeCell ref="K23:N28"/>
    <mergeCell ref="B25:E25"/>
    <mergeCell ref="B5:C5"/>
    <mergeCell ref="D5:E5"/>
    <mergeCell ref="F5:G5"/>
    <mergeCell ref="H5:J5"/>
    <mergeCell ref="B6:C6"/>
    <mergeCell ref="D6:E6"/>
    <mergeCell ref="B2:D2"/>
    <mergeCell ref="E2:J2"/>
    <mergeCell ref="B4:C4"/>
    <mergeCell ref="D4:E4"/>
    <mergeCell ref="F4:G4"/>
    <mergeCell ref="H4:J4"/>
    <mergeCell ref="H37:J37"/>
    <mergeCell ref="B19:C19"/>
    <mergeCell ref="B20:C20"/>
    <mergeCell ref="F6:G6"/>
    <mergeCell ref="B17:C17"/>
    <mergeCell ref="B7:C7"/>
    <mergeCell ref="D7:J7"/>
    <mergeCell ref="B9:J9"/>
    <mergeCell ref="B13:C13"/>
    <mergeCell ref="B14:C14"/>
    <mergeCell ref="B15:C15"/>
    <mergeCell ref="B16:C16"/>
    <mergeCell ref="B18:C18"/>
    <mergeCell ref="B21:C21"/>
    <mergeCell ref="B22:C22"/>
    <mergeCell ref="B26:E26"/>
  </mergeCells>
  <conditionalFormatting sqref="D13:H20">
    <cfRule type="cellIs" dxfId="50" priority="1" operator="lessThan">
      <formula>10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DFBB8-75B3-4A71-ACDC-6EF974077BEB}">
  <sheetPr>
    <tabColor theme="9" tint="-0.499984740745262"/>
    <pageSetUpPr fitToPage="1"/>
  </sheetPr>
  <dimension ref="B2:N41"/>
  <sheetViews>
    <sheetView showGridLines="0" topLeftCell="A18" workbookViewId="0">
      <selection activeCell="J24" sqref="J24"/>
    </sheetView>
  </sheetViews>
  <sheetFormatPr defaultColWidth="12.5703125" defaultRowHeight="15.75" customHeight="1" x14ac:dyDescent="0.2"/>
  <cols>
    <col min="1" max="1" width="3.42578125" customWidth="1"/>
    <col min="2" max="2" width="14.140625" customWidth="1"/>
    <col min="3" max="3" width="12.5703125" customWidth="1"/>
    <col min="4" max="4" width="17.28515625" bestFit="1" customWidth="1"/>
    <col min="5" max="9" width="12.5703125" customWidth="1"/>
    <col min="10" max="10" width="36.28515625" customWidth="1"/>
    <col min="11" max="11" width="8.85546875" customWidth="1"/>
    <col min="12" max="21" width="7.5703125" customWidth="1"/>
  </cols>
  <sheetData>
    <row r="2" spans="2:10" ht="55.5" customHeight="1" x14ac:dyDescent="0.2">
      <c r="B2" s="670"/>
      <c r="C2" s="671"/>
      <c r="D2" s="672"/>
      <c r="E2" s="673" t="s">
        <v>213</v>
      </c>
      <c r="F2" s="671"/>
      <c r="G2" s="671"/>
      <c r="H2" s="671"/>
      <c r="I2" s="671"/>
      <c r="J2" s="672"/>
    </row>
    <row r="3" spans="2:10" ht="22.5" customHeight="1" x14ac:dyDescent="0.2">
      <c r="B3" s="46"/>
      <c r="C3" s="46"/>
      <c r="D3" s="47"/>
      <c r="E3" s="47"/>
      <c r="F3" s="47"/>
      <c r="G3" s="47"/>
      <c r="H3" s="47"/>
      <c r="I3" s="47"/>
    </row>
    <row r="4" spans="2:10" ht="42" customHeight="1" x14ac:dyDescent="0.2">
      <c r="B4" s="594" t="s">
        <v>214</v>
      </c>
      <c r="C4" s="596"/>
      <c r="D4" s="674" t="str">
        <f>Índex!B28</f>
        <v xml:space="preserve">PC2.03_Ind02. </v>
      </c>
      <c r="E4" s="672"/>
      <c r="F4" s="594" t="s">
        <v>215</v>
      </c>
      <c r="G4" s="596"/>
      <c r="H4" s="674" t="str">
        <f>Índex!C28</f>
        <v xml:space="preserve"> Grau de satisfacció dels/de les participants en programes de Pràctiques Externes. (Graus) (Enquesta Titulats)</v>
      </c>
      <c r="I4" s="671"/>
      <c r="J4" s="672"/>
    </row>
    <row r="5" spans="2:10" ht="22.5" customHeight="1" x14ac:dyDescent="0.2">
      <c r="B5" s="594" t="s">
        <v>216</v>
      </c>
      <c r="C5" s="596"/>
      <c r="D5" s="674" t="str">
        <f>Índex!F28</f>
        <v>≥3</v>
      </c>
      <c r="E5" s="672"/>
      <c r="F5" s="732" t="s">
        <v>217</v>
      </c>
      <c r="G5" s="596"/>
      <c r="H5" s="675" t="s">
        <v>241</v>
      </c>
      <c r="I5" s="767"/>
      <c r="J5" s="681"/>
    </row>
    <row r="6" spans="2:10" ht="22.5" customHeight="1" x14ac:dyDescent="0.2">
      <c r="B6" s="594" t="s">
        <v>219</v>
      </c>
      <c r="C6" s="596"/>
      <c r="D6" s="674" t="s">
        <v>220</v>
      </c>
      <c r="E6" s="672"/>
      <c r="F6" s="594" t="s">
        <v>242</v>
      </c>
      <c r="G6" s="596"/>
      <c r="H6" s="12" t="str">
        <f>Índex!E28</f>
        <v>Gestora de Qualitat</v>
      </c>
      <c r="J6" s="108"/>
    </row>
    <row r="7" spans="2:10" ht="22.5" customHeight="1" x14ac:dyDescent="0.2">
      <c r="B7" s="594" t="s">
        <v>222</v>
      </c>
      <c r="C7" s="596"/>
      <c r="D7" s="674" t="str">
        <f>Índex!G28</f>
        <v>PC2.03 Programació de Pràctiques Externes (PE)</v>
      </c>
      <c r="E7" s="671"/>
      <c r="F7" s="671"/>
      <c r="G7" s="671"/>
      <c r="H7" s="671"/>
      <c r="I7" s="671"/>
      <c r="J7" s="672"/>
    </row>
    <row r="8" spans="2:10" ht="7.5" customHeight="1" x14ac:dyDescent="0.2"/>
    <row r="9" spans="2:10" ht="22.5" customHeight="1" x14ac:dyDescent="0.2">
      <c r="B9" s="594" t="s">
        <v>223</v>
      </c>
      <c r="C9" s="595"/>
      <c r="D9" s="595"/>
      <c r="E9" s="595"/>
      <c r="F9" s="595"/>
      <c r="G9" s="595"/>
      <c r="H9" s="595"/>
      <c r="I9" s="595"/>
      <c r="J9" s="596"/>
    </row>
    <row r="10" spans="2:10" ht="22.5" customHeight="1" x14ac:dyDescent="0.2">
      <c r="B10" s="14"/>
      <c r="C10" s="13"/>
      <c r="D10" s="13"/>
      <c r="E10" s="13"/>
      <c r="F10" s="13"/>
      <c r="G10" s="13"/>
      <c r="H10" s="13"/>
      <c r="I10" s="13"/>
      <c r="J10" s="13"/>
    </row>
    <row r="11" spans="2:10" ht="22.5" customHeight="1" x14ac:dyDescent="0.2"/>
    <row r="12" spans="2:10" ht="22.5" customHeight="1" x14ac:dyDescent="0.2">
      <c r="B12" s="16"/>
      <c r="C12" s="16"/>
      <c r="D12" s="105" t="s">
        <v>224</v>
      </c>
      <c r="E12" s="105" t="s">
        <v>225</v>
      </c>
      <c r="F12" s="105" t="s">
        <v>226</v>
      </c>
      <c r="G12" s="105" t="s">
        <v>227</v>
      </c>
      <c r="H12" s="105" t="s">
        <v>228</v>
      </c>
      <c r="I12" s="105" t="s">
        <v>229</v>
      </c>
    </row>
    <row r="13" spans="2:10" ht="22.5" customHeight="1" x14ac:dyDescent="0.2">
      <c r="B13" s="695" t="s">
        <v>244</v>
      </c>
      <c r="C13" s="695"/>
      <c r="D13" s="44">
        <v>3.8</v>
      </c>
      <c r="E13" s="44" t="s">
        <v>237</v>
      </c>
      <c r="F13" s="44">
        <v>3.75</v>
      </c>
      <c r="G13" s="44">
        <v>3.5</v>
      </c>
      <c r="H13" s="31">
        <v>4.12</v>
      </c>
      <c r="I13" s="31" t="s">
        <v>260</v>
      </c>
    </row>
    <row r="14" spans="2:10" ht="22.5" customHeight="1" x14ac:dyDescent="0.2">
      <c r="B14" s="695" t="s">
        <v>245</v>
      </c>
      <c r="C14" s="695"/>
      <c r="D14" s="44" t="s">
        <v>237</v>
      </c>
      <c r="E14" s="44" t="s">
        <v>237</v>
      </c>
      <c r="F14" s="44">
        <v>4.4000000000000004</v>
      </c>
      <c r="G14" s="44">
        <v>3</v>
      </c>
      <c r="H14" s="31">
        <v>4.43</v>
      </c>
      <c r="I14" s="31" t="s">
        <v>260</v>
      </c>
    </row>
    <row r="15" spans="2:10" ht="22.5" customHeight="1" x14ac:dyDescent="0.2">
      <c r="B15" s="695" t="s">
        <v>293</v>
      </c>
      <c r="C15" s="695"/>
      <c r="D15" s="44" t="s">
        <v>237</v>
      </c>
      <c r="E15" s="44">
        <v>4.33</v>
      </c>
      <c r="F15" s="44">
        <v>4</v>
      </c>
      <c r="G15" s="44">
        <v>3</v>
      </c>
      <c r="H15" s="31">
        <v>4.5</v>
      </c>
      <c r="I15" s="31" t="s">
        <v>260</v>
      </c>
    </row>
    <row r="16" spans="2:10" ht="22.5" customHeight="1" x14ac:dyDescent="0.2">
      <c r="B16" s="695" t="s">
        <v>250</v>
      </c>
      <c r="C16" s="695"/>
      <c r="D16" s="44">
        <v>3.22</v>
      </c>
      <c r="E16" s="44">
        <v>3.35</v>
      </c>
      <c r="F16" s="44">
        <v>3.58</v>
      </c>
      <c r="G16" s="44">
        <v>2.83</v>
      </c>
      <c r="H16" s="31">
        <v>4</v>
      </c>
      <c r="I16" s="31" t="s">
        <v>260</v>
      </c>
    </row>
    <row r="17" spans="2:14" ht="22.5" customHeight="1" x14ac:dyDescent="0.2">
      <c r="B17" s="695" t="s">
        <v>247</v>
      </c>
      <c r="C17" s="695"/>
      <c r="D17" s="44" t="s">
        <v>237</v>
      </c>
      <c r="E17" s="44" t="s">
        <v>237</v>
      </c>
      <c r="F17" s="44" t="s">
        <v>237</v>
      </c>
      <c r="G17" s="44">
        <v>5</v>
      </c>
      <c r="H17" s="31">
        <v>4.05</v>
      </c>
      <c r="I17" s="31" t="s">
        <v>260</v>
      </c>
      <c r="K17" s="24"/>
    </row>
    <row r="18" spans="2:14" ht="22.5" customHeight="1" x14ac:dyDescent="0.2">
      <c r="B18" s="695" t="s">
        <v>306</v>
      </c>
      <c r="C18" s="695"/>
      <c r="D18" s="44">
        <v>2.71</v>
      </c>
      <c r="E18" s="44">
        <v>3.33</v>
      </c>
      <c r="F18" s="44" t="s">
        <v>237</v>
      </c>
      <c r="G18" s="44">
        <v>2</v>
      </c>
      <c r="H18" s="31">
        <v>4.33</v>
      </c>
      <c r="I18" s="31" t="s">
        <v>260</v>
      </c>
      <c r="K18" s="24"/>
    </row>
    <row r="19" spans="2:14" ht="22.5" customHeight="1" x14ac:dyDescent="0.2">
      <c r="B19" s="695" t="s">
        <v>333</v>
      </c>
      <c r="C19" s="695"/>
      <c r="D19" s="44">
        <v>3.4</v>
      </c>
      <c r="E19" s="44" t="s">
        <v>237</v>
      </c>
      <c r="F19" s="44" t="s">
        <v>237</v>
      </c>
      <c r="G19" s="44" t="s">
        <v>237</v>
      </c>
      <c r="H19" s="31">
        <v>4.13</v>
      </c>
      <c r="I19" s="31" t="s">
        <v>260</v>
      </c>
      <c r="K19" s="24"/>
    </row>
    <row r="20" spans="2:14" ht="22.5" customHeight="1" x14ac:dyDescent="0.2">
      <c r="B20" s="695" t="s">
        <v>252</v>
      </c>
      <c r="C20" s="695"/>
      <c r="D20" s="44">
        <v>3.7</v>
      </c>
      <c r="E20" s="44">
        <v>2.09</v>
      </c>
      <c r="F20" s="44">
        <v>2.91</v>
      </c>
      <c r="G20" s="44">
        <v>2.5</v>
      </c>
      <c r="H20" s="31">
        <v>3.83</v>
      </c>
      <c r="I20" s="31" t="s">
        <v>260</v>
      </c>
      <c r="K20" s="70" t="s">
        <v>234</v>
      </c>
      <c r="L20" s="147"/>
      <c r="M20" s="147"/>
      <c r="N20" s="146"/>
    </row>
    <row r="21" spans="2:14" ht="46.5" customHeight="1" x14ac:dyDescent="0.2">
      <c r="B21" s="695" t="s">
        <v>251</v>
      </c>
      <c r="C21" s="695"/>
      <c r="D21" s="44" t="s">
        <v>237</v>
      </c>
      <c r="E21" s="44" t="s">
        <v>237</v>
      </c>
      <c r="F21" s="44" t="s">
        <v>237</v>
      </c>
      <c r="G21" s="44" t="s">
        <v>237</v>
      </c>
      <c r="H21" s="31">
        <v>5</v>
      </c>
      <c r="I21" s="31" t="s">
        <v>260</v>
      </c>
      <c r="J21" s="9"/>
      <c r="K21" s="9"/>
      <c r="L21" s="9"/>
      <c r="M21" s="9"/>
    </row>
    <row r="22" spans="2:14" ht="22.5" customHeight="1" x14ac:dyDescent="0.2">
      <c r="B22" s="695" t="s">
        <v>254</v>
      </c>
      <c r="C22" s="695"/>
      <c r="D22" s="44">
        <v>3.4</v>
      </c>
      <c r="E22" s="44">
        <v>4.22</v>
      </c>
      <c r="F22" s="44">
        <v>4.1500000000000004</v>
      </c>
      <c r="G22" s="44">
        <v>2</v>
      </c>
      <c r="H22" s="31">
        <v>3.68</v>
      </c>
      <c r="I22" s="31" t="s">
        <v>260</v>
      </c>
      <c r="K22" s="579" t="s">
        <v>334</v>
      </c>
      <c r="L22" s="580"/>
      <c r="M22" s="580"/>
      <c r="N22" s="581"/>
    </row>
    <row r="23" spans="2:14" ht="22.5" customHeight="1" x14ac:dyDescent="0.2">
      <c r="B23" s="695" t="s">
        <v>294</v>
      </c>
      <c r="C23" s="695"/>
      <c r="D23" s="44">
        <v>3.48</v>
      </c>
      <c r="E23" s="44">
        <v>2.62</v>
      </c>
      <c r="F23" s="44">
        <v>3</v>
      </c>
      <c r="G23" s="44">
        <v>2.25</v>
      </c>
      <c r="H23" s="31">
        <v>4.2699999999999996</v>
      </c>
      <c r="I23" s="31" t="s">
        <v>260</v>
      </c>
      <c r="K23" s="582"/>
      <c r="L23" s="583"/>
      <c r="M23" s="583"/>
      <c r="N23" s="584"/>
    </row>
    <row r="24" spans="2:14" ht="22.5" customHeight="1" x14ac:dyDescent="0.25">
      <c r="B24" s="687" t="str">
        <f>D5</f>
        <v>≥3</v>
      </c>
      <c r="C24" s="687"/>
      <c r="D24" s="58">
        <f>COUNTIF( D13:D23,"&gt;=3")</f>
        <v>6</v>
      </c>
      <c r="E24" s="58">
        <f t="shared" ref="E24:H24" si="0">COUNTIF( E13:E23,"&gt;=3")</f>
        <v>4</v>
      </c>
      <c r="F24" s="58">
        <f t="shared" si="0"/>
        <v>6</v>
      </c>
      <c r="G24" s="58">
        <f t="shared" si="0"/>
        <v>4</v>
      </c>
      <c r="H24" s="58">
        <f t="shared" si="0"/>
        <v>11</v>
      </c>
      <c r="I24" s="58">
        <f t="shared" ref="I24" si="1">COUNTIF( I13:I23,"&gt;=3")</f>
        <v>0</v>
      </c>
      <c r="K24" s="582"/>
      <c r="L24" s="583"/>
      <c r="M24" s="583"/>
      <c r="N24" s="584"/>
    </row>
    <row r="25" spans="2:14" ht="22.5" customHeight="1" x14ac:dyDescent="0.25">
      <c r="B25" s="687" t="s">
        <v>257</v>
      </c>
      <c r="C25" s="687"/>
      <c r="D25" s="53">
        <f t="shared" ref="D25:I25" si="2">COUNT( D13:D23)</f>
        <v>7</v>
      </c>
      <c r="E25" s="53">
        <f t="shared" si="2"/>
        <v>6</v>
      </c>
      <c r="F25" s="53">
        <f t="shared" si="2"/>
        <v>7</v>
      </c>
      <c r="G25" s="53">
        <f t="shared" si="2"/>
        <v>9</v>
      </c>
      <c r="H25" s="53">
        <f t="shared" si="2"/>
        <v>11</v>
      </c>
      <c r="I25" s="53">
        <f t="shared" si="2"/>
        <v>0</v>
      </c>
      <c r="K25" s="582"/>
      <c r="L25" s="583"/>
      <c r="M25" s="583"/>
      <c r="N25" s="584"/>
    </row>
    <row r="26" spans="2:14" ht="22.5" customHeight="1" x14ac:dyDescent="0.2">
      <c r="B26" s="210" t="s">
        <v>231</v>
      </c>
      <c r="C26" s="211" t="str">
        <f>B24</f>
        <v>≥3</v>
      </c>
      <c r="D26" s="179">
        <v>3</v>
      </c>
      <c r="E26" s="179">
        <v>3</v>
      </c>
      <c r="F26" s="179">
        <v>3</v>
      </c>
      <c r="G26" s="179">
        <v>3</v>
      </c>
      <c r="H26" s="179">
        <v>3</v>
      </c>
      <c r="I26" s="179">
        <v>3</v>
      </c>
      <c r="K26" s="582"/>
      <c r="L26" s="583"/>
      <c r="M26" s="583"/>
      <c r="N26" s="584"/>
    </row>
    <row r="27" spans="2:14" ht="22.5" customHeight="1" x14ac:dyDescent="0.2">
      <c r="B27" s="685" t="s">
        <v>232</v>
      </c>
      <c r="C27" s="735"/>
      <c r="D27" s="59">
        <f t="shared" ref="D27:I27" si="3">D24/D25</f>
        <v>0.8571428571428571</v>
      </c>
      <c r="E27" s="59">
        <f t="shared" si="3"/>
        <v>0.66666666666666663</v>
      </c>
      <c r="F27" s="59">
        <f t="shared" si="3"/>
        <v>0.8571428571428571</v>
      </c>
      <c r="G27" s="59">
        <f t="shared" si="3"/>
        <v>0.44444444444444442</v>
      </c>
      <c r="H27" s="59">
        <f t="shared" si="3"/>
        <v>1</v>
      </c>
      <c r="I27" s="59" t="e">
        <f t="shared" si="3"/>
        <v>#DIV/0!</v>
      </c>
      <c r="K27" s="582"/>
      <c r="L27" s="583"/>
      <c r="M27" s="583"/>
      <c r="N27" s="584"/>
    </row>
    <row r="28" spans="2:14" ht="22.5" customHeight="1" x14ac:dyDescent="0.25">
      <c r="B28" s="7"/>
      <c r="C28" s="7"/>
      <c r="D28" s="6"/>
      <c r="E28" s="6"/>
      <c r="F28" s="6"/>
      <c r="G28" s="6"/>
      <c r="H28" s="6"/>
      <c r="I28" s="6"/>
      <c r="K28" s="582"/>
      <c r="L28" s="583"/>
      <c r="M28" s="583"/>
      <c r="N28" s="584"/>
    </row>
    <row r="29" spans="2:14" ht="22.5" customHeight="1" x14ac:dyDescent="0.2">
      <c r="B29" s="594" t="s">
        <v>233</v>
      </c>
      <c r="C29" s="595"/>
      <c r="D29" s="595"/>
      <c r="E29" s="596"/>
      <c r="F29" s="8"/>
      <c r="K29" s="582"/>
      <c r="L29" s="583"/>
      <c r="M29" s="583"/>
      <c r="N29" s="584"/>
    </row>
    <row r="30" spans="2:14" ht="22.5" customHeight="1" x14ac:dyDescent="0.2">
      <c r="B30" s="8"/>
      <c r="C30" s="8"/>
      <c r="D30" s="8"/>
      <c r="E30" s="8"/>
      <c r="F30" s="8"/>
      <c r="K30" s="585"/>
      <c r="L30" s="586"/>
      <c r="M30" s="586"/>
      <c r="N30" s="587"/>
    </row>
    <row r="41" spans="8:10" ht="19.5" customHeight="1" x14ac:dyDescent="0.2">
      <c r="H41" s="588" t="s">
        <v>172</v>
      </c>
      <c r="I41" s="589"/>
      <c r="J41" s="589"/>
    </row>
  </sheetData>
  <sheetProtection sheet="1" formatCells="0" formatColumns="0" formatRows="0" insertColumns="0" insertRows="0" insertHyperlinks="0" deleteColumns="0" deleteRows="0" pivotTables="0"/>
  <mergeCells count="33">
    <mergeCell ref="B5:C5"/>
    <mergeCell ref="D5:E5"/>
    <mergeCell ref="F5:G5"/>
    <mergeCell ref="H5:J5"/>
    <mergeCell ref="B6:C6"/>
    <mergeCell ref="D6:E6"/>
    <mergeCell ref="F6:G6"/>
    <mergeCell ref="B2:D2"/>
    <mergeCell ref="E2:J2"/>
    <mergeCell ref="B4:C4"/>
    <mergeCell ref="D4:E4"/>
    <mergeCell ref="F4:G4"/>
    <mergeCell ref="H4:J4"/>
    <mergeCell ref="B7:C7"/>
    <mergeCell ref="D7:J7"/>
    <mergeCell ref="B29:E29"/>
    <mergeCell ref="K22:N30"/>
    <mergeCell ref="B19:C19"/>
    <mergeCell ref="B22:C22"/>
    <mergeCell ref="B23:C23"/>
    <mergeCell ref="B21:C21"/>
    <mergeCell ref="H41:J41"/>
    <mergeCell ref="B9:J9"/>
    <mergeCell ref="B24:C24"/>
    <mergeCell ref="B25:C25"/>
    <mergeCell ref="B27:C27"/>
    <mergeCell ref="B13:C13"/>
    <mergeCell ref="B15:C15"/>
    <mergeCell ref="B16:C16"/>
    <mergeCell ref="B17:C17"/>
    <mergeCell ref="B20:C20"/>
    <mergeCell ref="B14:C14"/>
    <mergeCell ref="B18:C18"/>
  </mergeCells>
  <conditionalFormatting sqref="D13:I23">
    <cfRule type="cellIs" dxfId="49" priority="1" operator="lessThan">
      <formula>3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D8B56-0B67-404B-83ED-37656FE57068}">
  <sheetPr>
    <tabColor theme="9" tint="-0.499984740745262"/>
    <pageSetUpPr fitToPage="1"/>
  </sheetPr>
  <dimension ref="A1:N50"/>
  <sheetViews>
    <sheetView showGridLines="0" topLeftCell="A37" workbookViewId="0">
      <selection activeCell="H38" sqref="H38"/>
    </sheetView>
  </sheetViews>
  <sheetFormatPr defaultColWidth="12.5703125" defaultRowHeight="15.75" customHeight="1" x14ac:dyDescent="0.2"/>
  <cols>
    <col min="1" max="1" width="3.42578125" customWidth="1"/>
    <col min="2" max="2" width="14.140625" customWidth="1"/>
    <col min="3" max="3" width="12.5703125" customWidth="1"/>
    <col min="4" max="4" width="17.28515625" bestFit="1" customWidth="1"/>
    <col min="5" max="9" width="12.5703125" customWidth="1"/>
    <col min="10" max="10" width="36.28515625" customWidth="1"/>
    <col min="11" max="11" width="16.140625" customWidth="1"/>
    <col min="12" max="13" width="7.5703125" customWidth="1"/>
    <col min="14" max="14" width="19" customWidth="1"/>
    <col min="15" max="21" width="7.5703125" customWidth="1"/>
  </cols>
  <sheetData>
    <row r="1" spans="1:10" ht="22.5" customHeight="1" x14ac:dyDescent="0.2">
      <c r="A1">
        <v>3</v>
      </c>
    </row>
    <row r="2" spans="1:10" ht="55.5" customHeight="1" x14ac:dyDescent="0.2">
      <c r="B2" s="670"/>
      <c r="C2" s="671"/>
      <c r="D2" s="672"/>
      <c r="E2" s="673" t="s">
        <v>213</v>
      </c>
      <c r="F2" s="671"/>
      <c r="G2" s="671"/>
      <c r="H2" s="671"/>
      <c r="I2" s="671"/>
      <c r="J2" s="672"/>
    </row>
    <row r="3" spans="1:10" ht="22.5" customHeight="1" x14ac:dyDescent="0.2">
      <c r="B3" s="46"/>
      <c r="C3" s="46"/>
      <c r="D3" s="47"/>
      <c r="E3" s="47"/>
      <c r="F3" s="47"/>
      <c r="G3" s="47"/>
      <c r="H3" s="47"/>
      <c r="I3" s="47"/>
    </row>
    <row r="4" spans="1:10" ht="42" customHeight="1" x14ac:dyDescent="0.2">
      <c r="B4" s="594" t="s">
        <v>214</v>
      </c>
      <c r="C4" s="596"/>
      <c r="D4" s="674" t="str">
        <f>Índex!B29</f>
        <v xml:space="preserve"> PC2.04_Ind01.</v>
      </c>
      <c r="E4" s="672"/>
      <c r="F4" s="594" t="s">
        <v>215</v>
      </c>
      <c r="G4" s="596"/>
      <c r="H4" s="674" t="str">
        <f>Índex!C29</f>
        <v>Nombre de Comissions de Docència realitzades per curs i titulació</v>
      </c>
      <c r="I4" s="671"/>
      <c r="J4" s="672"/>
    </row>
    <row r="5" spans="1:10" ht="22.5" customHeight="1" x14ac:dyDescent="0.2">
      <c r="B5" s="594" t="s">
        <v>216</v>
      </c>
      <c r="C5" s="596"/>
      <c r="D5" s="736" t="str">
        <f>Índex!F29</f>
        <v>≥1</v>
      </c>
      <c r="E5" s="672"/>
      <c r="F5" s="732" t="s">
        <v>217</v>
      </c>
      <c r="G5" s="596"/>
      <c r="H5" s="675" t="s">
        <v>218</v>
      </c>
      <c r="I5" s="767"/>
      <c r="J5" s="681"/>
    </row>
    <row r="6" spans="1:10" ht="22.5" customHeight="1" x14ac:dyDescent="0.2">
      <c r="B6" s="594" t="s">
        <v>219</v>
      </c>
      <c r="C6" s="596"/>
      <c r="D6" s="674" t="s">
        <v>220</v>
      </c>
      <c r="E6" s="672"/>
      <c r="F6" s="594" t="s">
        <v>242</v>
      </c>
      <c r="G6" s="596"/>
      <c r="H6" s="12" t="str">
        <f>Índex!E29</f>
        <v>Gestora de Qualitat</v>
      </c>
      <c r="J6" s="108"/>
    </row>
    <row r="7" spans="1:10" ht="22.5" customHeight="1" x14ac:dyDescent="0.2">
      <c r="B7" s="594" t="s">
        <v>222</v>
      </c>
      <c r="C7" s="596"/>
      <c r="D7" s="674" t="str">
        <f>Índex!G29</f>
        <v>PC2.04. Seguiment  i Millora de Titulacions</v>
      </c>
      <c r="E7" s="671"/>
      <c r="F7" s="671"/>
      <c r="G7" s="671"/>
      <c r="H7" s="671"/>
      <c r="I7" s="671"/>
      <c r="J7" s="672"/>
    </row>
    <row r="8" spans="1:10" ht="7.5" customHeight="1" x14ac:dyDescent="0.2"/>
    <row r="9" spans="1:10" ht="22.5" customHeight="1" x14ac:dyDescent="0.2">
      <c r="B9" s="594" t="s">
        <v>223</v>
      </c>
      <c r="C9" s="595"/>
      <c r="D9" s="595"/>
      <c r="E9" s="595"/>
      <c r="F9" s="595"/>
      <c r="G9" s="595"/>
      <c r="H9" s="595"/>
      <c r="I9" s="595"/>
      <c r="J9" s="596"/>
    </row>
    <row r="10" spans="1:10" ht="22.5" customHeight="1" x14ac:dyDescent="0.2"/>
    <row r="11" spans="1:10" ht="22.5" customHeight="1" x14ac:dyDescent="0.2">
      <c r="B11" s="16"/>
      <c r="C11" s="16"/>
      <c r="D11" s="105" t="s">
        <v>224</v>
      </c>
      <c r="E11" s="105" t="s">
        <v>225</v>
      </c>
      <c r="F11" s="105" t="s">
        <v>226</v>
      </c>
      <c r="G11" s="105" t="s">
        <v>227</v>
      </c>
      <c r="H11" s="105" t="s">
        <v>228</v>
      </c>
      <c r="I11" s="105" t="s">
        <v>229</v>
      </c>
    </row>
    <row r="12" spans="1:10" ht="41.25" customHeight="1" x14ac:dyDescent="0.2">
      <c r="B12" s="768" t="s">
        <v>335</v>
      </c>
      <c r="C12" s="768"/>
      <c r="D12" s="96">
        <v>2</v>
      </c>
      <c r="E12" s="96">
        <v>2</v>
      </c>
      <c r="F12" s="96">
        <v>2</v>
      </c>
      <c r="G12" s="44">
        <v>2</v>
      </c>
      <c r="H12" s="31">
        <v>2</v>
      </c>
      <c r="I12" s="31">
        <v>3</v>
      </c>
    </row>
    <row r="13" spans="1:10" ht="41.25" customHeight="1" x14ac:dyDescent="0.2">
      <c r="B13" s="770" t="s">
        <v>244</v>
      </c>
      <c r="C13" s="770"/>
      <c r="D13" s="96">
        <v>2</v>
      </c>
      <c r="E13" s="96">
        <v>1</v>
      </c>
      <c r="F13" s="96">
        <v>4</v>
      </c>
      <c r="G13" s="44">
        <v>1</v>
      </c>
      <c r="H13" s="31">
        <v>2</v>
      </c>
      <c r="I13" s="31">
        <v>3</v>
      </c>
    </row>
    <row r="14" spans="1:10" ht="41.25" customHeight="1" x14ac:dyDescent="0.2">
      <c r="B14" s="768" t="s">
        <v>293</v>
      </c>
      <c r="C14" s="768"/>
      <c r="D14" s="96">
        <v>1</v>
      </c>
      <c r="E14" s="96">
        <v>2</v>
      </c>
      <c r="F14" s="96">
        <v>2</v>
      </c>
      <c r="G14" s="44">
        <v>1</v>
      </c>
      <c r="H14" s="31">
        <v>2</v>
      </c>
      <c r="I14" s="31">
        <v>1</v>
      </c>
    </row>
    <row r="15" spans="1:10" ht="41.25" customHeight="1" x14ac:dyDescent="0.2">
      <c r="B15" s="768" t="s">
        <v>247</v>
      </c>
      <c r="C15" s="768"/>
      <c r="D15" s="96">
        <v>1</v>
      </c>
      <c r="E15" s="96">
        <v>3</v>
      </c>
      <c r="F15" s="96">
        <v>3</v>
      </c>
      <c r="G15" s="44">
        <v>2</v>
      </c>
      <c r="H15" s="31">
        <v>2</v>
      </c>
      <c r="I15" s="31">
        <v>2</v>
      </c>
    </row>
    <row r="16" spans="1:10" ht="41.25" customHeight="1" x14ac:dyDescent="0.2">
      <c r="B16" s="768" t="s">
        <v>252</v>
      </c>
      <c r="C16" s="768"/>
      <c r="D16" s="96">
        <v>2</v>
      </c>
      <c r="E16" s="96">
        <v>2</v>
      </c>
      <c r="F16" s="96">
        <v>2</v>
      </c>
      <c r="G16" s="44">
        <v>3</v>
      </c>
      <c r="H16" s="31">
        <v>2</v>
      </c>
      <c r="I16" s="31">
        <v>3</v>
      </c>
    </row>
    <row r="17" spans="2:14" ht="41.25" customHeight="1" x14ac:dyDescent="0.2">
      <c r="B17" s="768" t="s">
        <v>336</v>
      </c>
      <c r="C17" s="768"/>
      <c r="D17" s="96">
        <v>2</v>
      </c>
      <c r="E17" s="96">
        <v>3</v>
      </c>
      <c r="F17" s="96">
        <v>3</v>
      </c>
      <c r="G17" s="44">
        <v>1</v>
      </c>
      <c r="H17" s="31">
        <v>1</v>
      </c>
      <c r="I17" s="31">
        <v>3</v>
      </c>
      <c r="K17" s="18"/>
    </row>
    <row r="18" spans="2:14" ht="41.25" customHeight="1" x14ac:dyDescent="0.2">
      <c r="B18" s="768" t="s">
        <v>337</v>
      </c>
      <c r="C18" s="768"/>
      <c r="D18" s="96">
        <v>2</v>
      </c>
      <c r="E18" s="96">
        <v>3</v>
      </c>
      <c r="F18" s="96">
        <v>3</v>
      </c>
      <c r="G18" s="44">
        <v>0</v>
      </c>
      <c r="H18" s="31">
        <v>1</v>
      </c>
      <c r="I18" s="31">
        <v>3</v>
      </c>
      <c r="K18" s="18"/>
    </row>
    <row r="19" spans="2:14" ht="41.25" customHeight="1" x14ac:dyDescent="0.2">
      <c r="B19" s="768" t="s">
        <v>250</v>
      </c>
      <c r="C19" s="768"/>
      <c r="D19" s="96">
        <v>1</v>
      </c>
      <c r="E19" s="96">
        <v>2</v>
      </c>
      <c r="F19" s="96">
        <v>2</v>
      </c>
      <c r="G19" s="44">
        <v>1</v>
      </c>
      <c r="H19" s="31">
        <v>1</v>
      </c>
      <c r="I19" s="31">
        <v>0</v>
      </c>
      <c r="K19" s="18"/>
    </row>
    <row r="20" spans="2:14" ht="41.25" customHeight="1" x14ac:dyDescent="0.25">
      <c r="B20" s="769" t="s">
        <v>261</v>
      </c>
      <c r="C20" s="769"/>
      <c r="D20" s="96">
        <v>2</v>
      </c>
      <c r="E20" s="96">
        <v>2</v>
      </c>
      <c r="F20" s="96">
        <v>2</v>
      </c>
      <c r="G20" s="44">
        <v>2</v>
      </c>
      <c r="H20" s="31">
        <v>1</v>
      </c>
      <c r="I20" s="44">
        <v>1</v>
      </c>
      <c r="J20" s="91"/>
      <c r="K20" s="18"/>
    </row>
    <row r="21" spans="2:14" ht="41.25" customHeight="1" x14ac:dyDescent="0.2">
      <c r="B21" s="768" t="s">
        <v>338</v>
      </c>
      <c r="C21" s="768"/>
      <c r="D21" s="96" t="s">
        <v>317</v>
      </c>
      <c r="E21" s="96">
        <v>1</v>
      </c>
      <c r="F21" s="96">
        <v>1</v>
      </c>
      <c r="G21" s="44">
        <v>1</v>
      </c>
      <c r="H21" s="31">
        <v>2</v>
      </c>
      <c r="I21" s="31">
        <v>2</v>
      </c>
      <c r="K21" s="18"/>
    </row>
    <row r="22" spans="2:14" ht="41.25" customHeight="1" x14ac:dyDescent="0.2">
      <c r="B22" s="768" t="s">
        <v>253</v>
      </c>
      <c r="C22" s="768"/>
      <c r="D22" s="96">
        <v>1</v>
      </c>
      <c r="E22" s="96">
        <v>2</v>
      </c>
      <c r="F22" s="96">
        <v>2</v>
      </c>
      <c r="G22" s="44">
        <v>1</v>
      </c>
      <c r="H22" s="31">
        <v>1</v>
      </c>
      <c r="I22" s="31">
        <v>1</v>
      </c>
      <c r="K22" s="18"/>
    </row>
    <row r="23" spans="2:14" ht="51.75" customHeight="1" x14ac:dyDescent="0.25">
      <c r="B23" s="769" t="s">
        <v>299</v>
      </c>
      <c r="C23" s="769"/>
      <c r="D23" s="96">
        <v>2</v>
      </c>
      <c r="E23" s="96">
        <v>2</v>
      </c>
      <c r="F23" s="96">
        <v>2</v>
      </c>
      <c r="G23" s="44">
        <v>1</v>
      </c>
      <c r="H23" s="31">
        <v>3</v>
      </c>
      <c r="I23" s="31">
        <v>2</v>
      </c>
      <c r="K23" s="18"/>
    </row>
    <row r="24" spans="2:14" ht="51.75" customHeight="1" x14ac:dyDescent="0.3">
      <c r="B24" s="772" t="s">
        <v>339</v>
      </c>
      <c r="C24" s="772"/>
      <c r="D24" s="96" t="s">
        <v>237</v>
      </c>
      <c r="E24" s="96" t="s">
        <v>237</v>
      </c>
      <c r="F24" s="96" t="s">
        <v>237</v>
      </c>
      <c r="G24" s="44" t="s">
        <v>237</v>
      </c>
      <c r="H24" s="31">
        <v>0</v>
      </c>
      <c r="I24" s="31">
        <v>1</v>
      </c>
      <c r="K24" s="18"/>
    </row>
    <row r="25" spans="2:14" ht="48" customHeight="1" x14ac:dyDescent="0.2">
      <c r="B25" s="768" t="s">
        <v>302</v>
      </c>
      <c r="C25" s="768"/>
      <c r="D25" s="96">
        <v>4</v>
      </c>
      <c r="E25" s="96">
        <v>4</v>
      </c>
      <c r="F25" s="96">
        <v>4</v>
      </c>
      <c r="G25" s="44">
        <v>2</v>
      </c>
      <c r="H25" s="31">
        <v>2</v>
      </c>
      <c r="I25" s="31">
        <v>2</v>
      </c>
      <c r="K25" s="18"/>
    </row>
    <row r="26" spans="2:14" ht="29.25" customHeight="1" x14ac:dyDescent="0.2">
      <c r="B26" s="768" t="s">
        <v>340</v>
      </c>
      <c r="C26" s="768"/>
      <c r="D26" s="96">
        <v>1</v>
      </c>
      <c r="E26" s="96">
        <v>1</v>
      </c>
      <c r="F26" s="96">
        <v>1</v>
      </c>
      <c r="G26" s="44">
        <v>2</v>
      </c>
      <c r="H26" s="31">
        <v>1</v>
      </c>
      <c r="I26" s="31">
        <v>1</v>
      </c>
      <c r="K26" s="18"/>
    </row>
    <row r="27" spans="2:14" ht="48.75" customHeight="1" x14ac:dyDescent="0.2">
      <c r="B27" s="768" t="s">
        <v>341</v>
      </c>
      <c r="C27" s="768"/>
      <c r="D27" s="96">
        <v>1</v>
      </c>
      <c r="E27" s="96">
        <v>1</v>
      </c>
      <c r="F27" s="96">
        <v>1</v>
      </c>
      <c r="G27" s="44">
        <v>1</v>
      </c>
      <c r="H27" s="31">
        <v>1</v>
      </c>
      <c r="I27" s="31">
        <v>1</v>
      </c>
      <c r="K27" s="18"/>
    </row>
    <row r="28" spans="2:14" ht="55.5" customHeight="1" x14ac:dyDescent="0.2">
      <c r="B28" s="768" t="s">
        <v>298</v>
      </c>
      <c r="C28" s="768"/>
      <c r="D28" s="96">
        <v>1</v>
      </c>
      <c r="E28" s="96">
        <v>1</v>
      </c>
      <c r="F28" s="96">
        <v>1</v>
      </c>
      <c r="G28" s="44">
        <v>1</v>
      </c>
      <c r="H28" s="31">
        <v>3</v>
      </c>
      <c r="I28" s="31">
        <v>4</v>
      </c>
      <c r="K28" s="18"/>
    </row>
    <row r="29" spans="2:14" ht="45.75" customHeight="1" x14ac:dyDescent="0.2">
      <c r="B29" s="768" t="s">
        <v>271</v>
      </c>
      <c r="C29" s="768"/>
      <c r="D29" s="96">
        <v>2</v>
      </c>
      <c r="E29" s="96">
        <v>2</v>
      </c>
      <c r="F29" s="96">
        <v>2</v>
      </c>
      <c r="G29" s="44">
        <v>2</v>
      </c>
      <c r="H29" s="31">
        <v>1</v>
      </c>
      <c r="I29" s="31">
        <v>1</v>
      </c>
      <c r="J29" s="370"/>
      <c r="L29" s="381"/>
      <c r="M29" s="381"/>
      <c r="N29" s="368" t="s">
        <v>234</v>
      </c>
    </row>
    <row r="30" spans="2:14" ht="22.5" customHeight="1" x14ac:dyDescent="0.2">
      <c r="B30" s="687" t="str">
        <f>D5</f>
        <v>≥1</v>
      </c>
      <c r="C30" s="687"/>
      <c r="D30" s="214">
        <f>COUNTIF(D12:D29,"&gt;=1")</f>
        <v>16</v>
      </c>
      <c r="E30" s="214">
        <f t="shared" ref="E30:G30" si="0">COUNTIF(E12:E29,"&gt;=1")</f>
        <v>17</v>
      </c>
      <c r="F30" s="214">
        <f t="shared" si="0"/>
        <v>17</v>
      </c>
      <c r="G30" s="214">
        <f t="shared" si="0"/>
        <v>16</v>
      </c>
      <c r="H30" s="214">
        <f>COUNTIF(H12:H29,"&gt;=1")</f>
        <v>17</v>
      </c>
      <c r="I30" s="31">
        <v>17</v>
      </c>
      <c r="J30" s="382"/>
      <c r="K30" s="382"/>
      <c r="L30" s="382"/>
      <c r="M30" s="382"/>
    </row>
    <row r="31" spans="2:14" ht="22.5" customHeight="1" x14ac:dyDescent="0.25">
      <c r="B31" s="687" t="s">
        <v>257</v>
      </c>
      <c r="C31" s="687"/>
      <c r="D31" s="53">
        <f t="shared" ref="D31:G31" si="1">COUNT(D12:D29)</f>
        <v>16</v>
      </c>
      <c r="E31" s="53">
        <f t="shared" si="1"/>
        <v>17</v>
      </c>
      <c r="F31" s="53">
        <f t="shared" si="1"/>
        <v>17</v>
      </c>
      <c r="G31" s="53">
        <f t="shared" si="1"/>
        <v>17</v>
      </c>
      <c r="H31" s="53">
        <f>COUNT(H12:H29)</f>
        <v>18</v>
      </c>
      <c r="I31" s="31">
        <v>18</v>
      </c>
      <c r="J31" s="773"/>
      <c r="K31" s="773"/>
      <c r="L31" s="773"/>
      <c r="M31" s="773"/>
      <c r="N31" s="383" t="s">
        <v>172</v>
      </c>
    </row>
    <row r="32" spans="2:14" ht="22.5" customHeight="1" x14ac:dyDescent="0.2">
      <c r="B32" s="215" t="s">
        <v>231</v>
      </c>
      <c r="C32" s="216" t="str">
        <f>B30</f>
        <v>≥1</v>
      </c>
      <c r="D32" s="179">
        <v>1</v>
      </c>
      <c r="E32" s="179">
        <v>1</v>
      </c>
      <c r="F32" s="179">
        <v>1</v>
      </c>
      <c r="G32" s="179">
        <v>1</v>
      </c>
      <c r="H32" s="179">
        <v>1</v>
      </c>
      <c r="I32" s="31">
        <v>1</v>
      </c>
      <c r="J32" s="773"/>
      <c r="K32" s="773"/>
      <c r="L32" s="773"/>
      <c r="M32" s="773"/>
      <c r="N32" s="384"/>
    </row>
    <row r="33" spans="2:13" ht="22.5" customHeight="1" x14ac:dyDescent="0.2">
      <c r="B33" s="685" t="s">
        <v>232</v>
      </c>
      <c r="C33" s="735"/>
      <c r="D33" s="59">
        <f>D30/D31</f>
        <v>1</v>
      </c>
      <c r="E33" s="59">
        <f t="shared" ref="E33:G33" si="2">E30/E31</f>
        <v>1</v>
      </c>
      <c r="F33" s="59">
        <f t="shared" si="2"/>
        <v>1</v>
      </c>
      <c r="G33" s="59">
        <f t="shared" si="2"/>
        <v>0.94117647058823528</v>
      </c>
      <c r="H33" s="59">
        <f>H30/H31</f>
        <v>0.94444444444444442</v>
      </c>
      <c r="I33" s="514">
        <f>I30/I31</f>
        <v>0.94444444444444442</v>
      </c>
      <c r="J33" s="773"/>
      <c r="K33" s="773"/>
      <c r="L33" s="773"/>
      <c r="M33" s="773"/>
    </row>
    <row r="34" spans="2:13" ht="22.5" customHeight="1" x14ac:dyDescent="0.25">
      <c r="B34" s="7"/>
      <c r="C34" s="7"/>
      <c r="D34" s="125"/>
      <c r="E34" s="125"/>
      <c r="F34" s="125"/>
      <c r="G34" s="21"/>
      <c r="H34" s="6"/>
      <c r="I34" s="6"/>
      <c r="J34" s="773"/>
      <c r="K34" s="773"/>
      <c r="L34" s="773"/>
      <c r="M34" s="773"/>
    </row>
    <row r="35" spans="2:13" ht="22.5" customHeight="1" x14ac:dyDescent="0.25">
      <c r="B35" s="7"/>
      <c r="C35" s="7"/>
      <c r="D35" s="125"/>
      <c r="E35" s="125"/>
      <c r="F35" s="125"/>
      <c r="G35" s="21"/>
      <c r="H35" s="6"/>
      <c r="I35" s="6"/>
      <c r="J35" s="773"/>
      <c r="K35" s="773"/>
      <c r="L35" s="773"/>
      <c r="M35" s="773"/>
    </row>
    <row r="36" spans="2:13" ht="22.5" customHeight="1" x14ac:dyDescent="0.25">
      <c r="B36" s="7"/>
      <c r="C36" s="7"/>
      <c r="D36" s="125"/>
      <c r="E36" s="125"/>
      <c r="F36" s="125"/>
      <c r="G36" s="21"/>
      <c r="H36" s="6"/>
      <c r="I36" s="6"/>
      <c r="J36" s="773"/>
      <c r="K36" s="773"/>
      <c r="L36" s="773"/>
      <c r="M36" s="773"/>
    </row>
    <row r="37" spans="2:13" ht="22.5" customHeight="1" x14ac:dyDescent="0.25">
      <c r="B37" s="7"/>
      <c r="C37" s="7"/>
      <c r="D37" s="125"/>
      <c r="E37" s="125"/>
      <c r="F37" s="125"/>
      <c r="G37" s="21"/>
      <c r="H37" s="6"/>
      <c r="I37" s="6"/>
      <c r="J37" s="773"/>
      <c r="K37" s="773"/>
      <c r="L37" s="773"/>
      <c r="M37" s="773"/>
    </row>
    <row r="38" spans="2:13" ht="22.5" customHeight="1" x14ac:dyDescent="0.2">
      <c r="B38" s="771" t="s">
        <v>233</v>
      </c>
      <c r="C38" s="771"/>
      <c r="D38" s="771"/>
      <c r="E38" s="771"/>
      <c r="F38" s="8"/>
      <c r="J38" s="773"/>
      <c r="K38" s="773"/>
      <c r="L38" s="773"/>
      <c r="M38" s="773"/>
    </row>
    <row r="39" spans="2:13" ht="22.5" customHeight="1" x14ac:dyDescent="0.2">
      <c r="B39" s="8"/>
      <c r="C39" s="8"/>
      <c r="D39" s="8"/>
      <c r="E39" s="8"/>
      <c r="F39" s="8"/>
      <c r="J39" s="773"/>
      <c r="K39" s="773"/>
      <c r="L39" s="773"/>
      <c r="M39" s="773"/>
    </row>
    <row r="50" spans="8:10" ht="19.5" customHeight="1" x14ac:dyDescent="0.2">
      <c r="H50" s="588" t="s">
        <v>172</v>
      </c>
      <c r="I50" s="589"/>
      <c r="J50" s="589"/>
    </row>
  </sheetData>
  <sheetProtection sheet="1" formatCells="0" formatColumns="0" formatRows="0" insertColumns="0" insertRows="0" insertHyperlinks="0" deleteColumns="0" deleteRows="0" pivotTables="0"/>
  <mergeCells count="40">
    <mergeCell ref="B5:C5"/>
    <mergeCell ref="D5:E5"/>
    <mergeCell ref="F5:G5"/>
    <mergeCell ref="H5:J5"/>
    <mergeCell ref="B6:C6"/>
    <mergeCell ref="F6:G6"/>
    <mergeCell ref="D6:E6"/>
    <mergeCell ref="B2:D2"/>
    <mergeCell ref="E2:J2"/>
    <mergeCell ref="B4:C4"/>
    <mergeCell ref="D4:E4"/>
    <mergeCell ref="F4:G4"/>
    <mergeCell ref="H4:J4"/>
    <mergeCell ref="H50:J50"/>
    <mergeCell ref="B22:C22"/>
    <mergeCell ref="B25:C25"/>
    <mergeCell ref="B26:C26"/>
    <mergeCell ref="B27:C27"/>
    <mergeCell ref="B23:C23"/>
    <mergeCell ref="B28:C28"/>
    <mergeCell ref="B29:C29"/>
    <mergeCell ref="B38:E38"/>
    <mergeCell ref="B31:C31"/>
    <mergeCell ref="B24:C24"/>
    <mergeCell ref="B33:C33"/>
    <mergeCell ref="B30:C30"/>
    <mergeCell ref="J31:M39"/>
    <mergeCell ref="B7:C7"/>
    <mergeCell ref="D7:J7"/>
    <mergeCell ref="B9:J9"/>
    <mergeCell ref="B12:C12"/>
    <mergeCell ref="B14:C14"/>
    <mergeCell ref="B19:C19"/>
    <mergeCell ref="B21:C21"/>
    <mergeCell ref="B20:C20"/>
    <mergeCell ref="B15:C15"/>
    <mergeCell ref="B13:C13"/>
    <mergeCell ref="B16:C16"/>
    <mergeCell ref="B17:C17"/>
    <mergeCell ref="B18:C18"/>
  </mergeCells>
  <conditionalFormatting sqref="D12:G29">
    <cfRule type="cellIs" dxfId="48" priority="7" operator="between">
      <formula>0</formula>
      <formula>0.9</formula>
    </cfRule>
  </conditionalFormatting>
  <conditionalFormatting sqref="H12:H29">
    <cfRule type="cellIs" dxfId="47" priority="5" operator="lessThan">
      <formula>1</formula>
    </cfRule>
  </conditionalFormatting>
  <conditionalFormatting sqref="I12:I19">
    <cfRule type="cellIs" dxfId="46" priority="4" operator="lessThan">
      <formula>1</formula>
    </cfRule>
  </conditionalFormatting>
  <conditionalFormatting sqref="I21:I33">
    <cfRule type="cellIs" dxfId="45" priority="1" operator="lessThan">
      <formula>1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637B9-1384-4605-A04B-9820D1B547DF}">
  <sheetPr>
    <tabColor theme="9" tint="-0.499984740745262"/>
    <pageSetUpPr fitToPage="1"/>
  </sheetPr>
  <dimension ref="B2:K48"/>
  <sheetViews>
    <sheetView showGridLines="0" topLeftCell="A36" workbookViewId="0">
      <selection activeCell="F36" sqref="F36"/>
    </sheetView>
  </sheetViews>
  <sheetFormatPr defaultColWidth="12.5703125" defaultRowHeight="15.75" customHeight="1" x14ac:dyDescent="0.2"/>
  <cols>
    <col min="1" max="1" width="3.42578125" customWidth="1"/>
    <col min="2" max="2" width="14.140625" customWidth="1"/>
    <col min="3" max="3" width="12.5703125" customWidth="1"/>
    <col min="4" max="4" width="17.28515625" bestFit="1" customWidth="1"/>
    <col min="5" max="9" width="12.5703125" customWidth="1"/>
    <col min="10" max="10" width="36.28515625" customWidth="1"/>
    <col min="11" max="11" width="36.140625" customWidth="1"/>
    <col min="12" max="20" width="7.5703125" customWidth="1"/>
  </cols>
  <sheetData>
    <row r="2" spans="2:10" ht="55.5" customHeight="1" x14ac:dyDescent="0.2">
      <c r="B2" s="670"/>
      <c r="C2" s="671"/>
      <c r="D2" s="672"/>
      <c r="E2" s="673" t="s">
        <v>213</v>
      </c>
      <c r="F2" s="671"/>
      <c r="G2" s="671"/>
      <c r="H2" s="671"/>
      <c r="I2" s="671"/>
      <c r="J2" s="672"/>
    </row>
    <row r="3" spans="2:10" ht="22.5" customHeight="1" x14ac:dyDescent="0.2">
      <c r="B3" s="46"/>
      <c r="C3" s="46"/>
      <c r="D3" s="47"/>
      <c r="E3" s="47"/>
      <c r="F3" s="47"/>
      <c r="G3" s="47"/>
      <c r="H3" s="47"/>
      <c r="I3" s="47"/>
    </row>
    <row r="4" spans="2:10" ht="42" customHeight="1" x14ac:dyDescent="0.2">
      <c r="B4" s="594" t="s">
        <v>214</v>
      </c>
      <c r="C4" s="596"/>
      <c r="D4" s="674" t="str">
        <f>Índex!B30</f>
        <v xml:space="preserve">PC2.04_Ind02. </v>
      </c>
      <c r="E4" s="672"/>
      <c r="F4" s="594" t="s">
        <v>215</v>
      </c>
      <c r="G4" s="596"/>
      <c r="H4" s="674" t="str">
        <f>Índex!C30</f>
        <v>Taxa d’abandonament a primer curs a temps complert</v>
      </c>
      <c r="I4" s="671"/>
      <c r="J4" s="672"/>
    </row>
    <row r="5" spans="2:10" ht="22.5" customHeight="1" x14ac:dyDescent="0.2">
      <c r="B5" s="594" t="s">
        <v>216</v>
      </c>
      <c r="C5" s="596"/>
      <c r="D5" s="674" t="str">
        <f>Índex!F30</f>
        <v>≤25%</v>
      </c>
      <c r="E5" s="672"/>
      <c r="F5" s="732" t="s">
        <v>217</v>
      </c>
      <c r="G5" s="596"/>
      <c r="H5" s="675" t="s">
        <v>241</v>
      </c>
      <c r="I5" s="767"/>
      <c r="J5" s="681"/>
    </row>
    <row r="6" spans="2:10" ht="22.5" customHeight="1" x14ac:dyDescent="0.2">
      <c r="B6" s="594" t="s">
        <v>219</v>
      </c>
      <c r="C6" s="596"/>
      <c r="D6" s="674" t="s">
        <v>220</v>
      </c>
      <c r="E6" s="672"/>
      <c r="F6" s="594" t="s">
        <v>242</v>
      </c>
      <c r="G6" s="596"/>
      <c r="H6" s="12" t="str">
        <f>Índex!E30</f>
        <v>Gestora de Qualitat</v>
      </c>
      <c r="J6" s="108"/>
    </row>
    <row r="7" spans="2:10" ht="22.5" customHeight="1" x14ac:dyDescent="0.2">
      <c r="B7" s="594" t="s">
        <v>222</v>
      </c>
      <c r="C7" s="596"/>
      <c r="D7" s="674" t="str">
        <f>Índex!G30</f>
        <v>PC2.04. Seguiment  i Millora de Titulacions</v>
      </c>
      <c r="E7" s="671"/>
      <c r="F7" s="671"/>
      <c r="G7" s="671"/>
      <c r="H7" s="671"/>
      <c r="I7" s="671"/>
      <c r="J7" s="672"/>
    </row>
    <row r="8" spans="2:10" ht="7.5" customHeight="1" x14ac:dyDescent="0.2"/>
    <row r="9" spans="2:10" ht="22.5" customHeight="1" x14ac:dyDescent="0.2">
      <c r="B9" s="594" t="s">
        <v>223</v>
      </c>
      <c r="C9" s="595"/>
      <c r="D9" s="595"/>
      <c r="E9" s="595"/>
      <c r="F9" s="595"/>
      <c r="G9" s="595"/>
      <c r="H9" s="595"/>
      <c r="I9" s="595"/>
      <c r="J9" s="596"/>
    </row>
    <row r="10" spans="2:10" ht="22.5" customHeight="1" x14ac:dyDescent="0.2">
      <c r="B10" s="14"/>
      <c r="C10" s="13"/>
      <c r="D10" s="13"/>
      <c r="E10" s="13"/>
      <c r="F10" s="13"/>
      <c r="G10" s="13"/>
      <c r="H10" s="13"/>
      <c r="I10" s="13"/>
      <c r="J10" s="13"/>
    </row>
    <row r="11" spans="2:10" ht="22.5" customHeight="1" x14ac:dyDescent="0.2"/>
    <row r="12" spans="2:10" ht="22.5" customHeight="1" x14ac:dyDescent="0.2">
      <c r="B12" s="16"/>
      <c r="C12" s="16"/>
      <c r="D12" s="103" t="s">
        <v>224</v>
      </c>
      <c r="E12" s="103" t="s">
        <v>225</v>
      </c>
      <c r="F12" s="103" t="s">
        <v>226</v>
      </c>
      <c r="G12" s="103" t="s">
        <v>227</v>
      </c>
      <c r="H12" s="103" t="s">
        <v>228</v>
      </c>
      <c r="I12" s="103" t="s">
        <v>229</v>
      </c>
    </row>
    <row r="13" spans="2:10" ht="41.25" customHeight="1" thickBot="1" x14ac:dyDescent="0.25">
      <c r="B13" s="695" t="s">
        <v>244</v>
      </c>
      <c r="C13" s="695"/>
      <c r="D13" s="64">
        <v>0.1</v>
      </c>
      <c r="E13" s="97">
        <v>0.16</v>
      </c>
      <c r="F13" s="97">
        <v>0.06</v>
      </c>
      <c r="G13" s="97">
        <v>0.21</v>
      </c>
      <c r="H13" s="411" t="s">
        <v>342</v>
      </c>
      <c r="I13" s="437" t="s">
        <v>260</v>
      </c>
      <c r="J13" s="126"/>
    </row>
    <row r="14" spans="2:10" ht="41.25" customHeight="1" thickBot="1" x14ac:dyDescent="0.25">
      <c r="B14" s="695" t="s">
        <v>343</v>
      </c>
      <c r="C14" s="695"/>
      <c r="D14" s="64">
        <v>0.15</v>
      </c>
      <c r="E14" s="96" t="s">
        <v>344</v>
      </c>
      <c r="F14" s="97" t="s">
        <v>237</v>
      </c>
      <c r="G14" s="97">
        <v>0.2</v>
      </c>
      <c r="H14" s="217" t="s">
        <v>345</v>
      </c>
      <c r="I14" s="437" t="s">
        <v>260</v>
      </c>
      <c r="J14" s="126"/>
    </row>
    <row r="15" spans="2:10" ht="41.25" customHeight="1" thickBot="1" x14ac:dyDescent="0.25">
      <c r="B15" s="695" t="s">
        <v>293</v>
      </c>
      <c r="C15" s="695"/>
      <c r="D15" s="64">
        <v>0.26</v>
      </c>
      <c r="E15" s="96" t="s">
        <v>346</v>
      </c>
      <c r="F15" s="97">
        <v>0.22</v>
      </c>
      <c r="G15" s="97">
        <v>0.28000000000000003</v>
      </c>
      <c r="H15" s="412" t="s">
        <v>347</v>
      </c>
      <c r="I15" s="438">
        <v>0.1628</v>
      </c>
      <c r="J15" s="126"/>
    </row>
    <row r="16" spans="2:10" ht="41.25" customHeight="1" thickBot="1" x14ac:dyDescent="0.25">
      <c r="B16" s="695" t="s">
        <v>247</v>
      </c>
      <c r="C16" s="695"/>
      <c r="D16" s="64">
        <v>0.18</v>
      </c>
      <c r="E16" s="97">
        <v>0.06</v>
      </c>
      <c r="F16" s="97">
        <v>0.15</v>
      </c>
      <c r="G16" s="97">
        <v>0.05</v>
      </c>
      <c r="H16" s="217" t="s">
        <v>345</v>
      </c>
      <c r="I16" s="438">
        <v>0.1053</v>
      </c>
      <c r="J16" s="126"/>
    </row>
    <row r="17" spans="2:11" ht="41.25" customHeight="1" thickBot="1" x14ac:dyDescent="0.25">
      <c r="B17" s="695" t="s">
        <v>336</v>
      </c>
      <c r="C17" s="695"/>
      <c r="D17" s="64" t="s">
        <v>237</v>
      </c>
      <c r="E17" s="97">
        <v>0.09</v>
      </c>
      <c r="F17" s="97">
        <v>0.05</v>
      </c>
      <c r="G17" s="97">
        <v>0.05</v>
      </c>
      <c r="H17" s="217" t="s">
        <v>348</v>
      </c>
      <c r="I17" s="438">
        <v>9.0899999999999995E-2</v>
      </c>
      <c r="J17" s="126"/>
      <c r="K17" s="23"/>
    </row>
    <row r="18" spans="2:11" ht="41.25" customHeight="1" thickBot="1" x14ac:dyDescent="0.25">
      <c r="B18" s="695" t="s">
        <v>337</v>
      </c>
      <c r="C18" s="695"/>
      <c r="D18" s="64" t="s">
        <v>237</v>
      </c>
      <c r="E18" s="97" t="s">
        <v>237</v>
      </c>
      <c r="F18" s="97" t="s">
        <v>237</v>
      </c>
      <c r="G18" s="97">
        <v>0.14000000000000001</v>
      </c>
      <c r="H18" s="217" t="s">
        <v>348</v>
      </c>
      <c r="I18" s="438">
        <v>9.5200000000000007E-2</v>
      </c>
      <c r="J18" s="126"/>
      <c r="K18" s="23"/>
    </row>
    <row r="19" spans="2:11" ht="41.25" customHeight="1" thickBot="1" x14ac:dyDescent="0.25">
      <c r="B19" s="695" t="s">
        <v>250</v>
      </c>
      <c r="C19" s="695"/>
      <c r="D19" s="64">
        <v>0.33</v>
      </c>
      <c r="E19" s="97">
        <v>0.34</v>
      </c>
      <c r="F19" s="97">
        <v>0.4</v>
      </c>
      <c r="G19" s="97">
        <v>0.38</v>
      </c>
      <c r="H19" s="412" t="s">
        <v>349</v>
      </c>
      <c r="I19" s="439">
        <v>0.45</v>
      </c>
      <c r="J19" s="126"/>
      <c r="K19" s="23"/>
    </row>
    <row r="20" spans="2:11" ht="41.25" customHeight="1" thickBot="1" x14ac:dyDescent="0.25">
      <c r="B20" s="695" t="s">
        <v>350</v>
      </c>
      <c r="C20" s="695"/>
      <c r="D20" s="44" t="s">
        <v>317</v>
      </c>
      <c r="E20" s="97">
        <v>0.24</v>
      </c>
      <c r="F20" s="97">
        <v>0.12</v>
      </c>
      <c r="G20" s="97">
        <v>0.06</v>
      </c>
      <c r="H20" s="217" t="s">
        <v>351</v>
      </c>
      <c r="I20" s="438">
        <v>0.21429999999999999</v>
      </c>
      <c r="J20" s="150"/>
    </row>
    <row r="21" spans="2:11" ht="41.25" customHeight="1" thickBot="1" x14ac:dyDescent="0.25">
      <c r="B21" s="695" t="s">
        <v>252</v>
      </c>
      <c r="C21" s="695"/>
      <c r="D21" s="64">
        <v>0.25</v>
      </c>
      <c r="E21" s="97">
        <v>0.12</v>
      </c>
      <c r="F21" s="97">
        <v>0.21</v>
      </c>
      <c r="G21" s="97">
        <v>0.12</v>
      </c>
      <c r="H21" s="217" t="s">
        <v>345</v>
      </c>
      <c r="I21" s="438">
        <v>0.20630000000000001</v>
      </c>
      <c r="J21" s="29"/>
    </row>
    <row r="22" spans="2:11" ht="41.25" customHeight="1" thickBot="1" x14ac:dyDescent="0.25">
      <c r="B22" s="695" t="s">
        <v>253</v>
      </c>
      <c r="C22" s="695"/>
      <c r="D22" s="64">
        <v>0.13</v>
      </c>
      <c r="E22" s="97">
        <v>0.23</v>
      </c>
      <c r="F22" s="97">
        <v>0.13</v>
      </c>
      <c r="G22" s="97">
        <v>0.18</v>
      </c>
      <c r="H22" s="217" t="s">
        <v>352</v>
      </c>
      <c r="I22" s="438">
        <v>0.18459999999999999</v>
      </c>
      <c r="J22" s="30"/>
      <c r="K22" s="55"/>
    </row>
    <row r="23" spans="2:11" ht="41.25" customHeight="1" thickBot="1" x14ac:dyDescent="0.25">
      <c r="B23" s="695" t="s">
        <v>254</v>
      </c>
      <c r="C23" s="695"/>
      <c r="D23" s="64">
        <v>0.18</v>
      </c>
      <c r="E23" s="97">
        <v>0.12</v>
      </c>
      <c r="F23" s="97">
        <v>0.21</v>
      </c>
      <c r="G23" s="97">
        <v>0.18</v>
      </c>
      <c r="H23" s="217" t="s">
        <v>353</v>
      </c>
      <c r="I23" s="438">
        <v>0.15970000000000001</v>
      </c>
      <c r="J23" s="30"/>
      <c r="K23" s="55"/>
    </row>
    <row r="24" spans="2:11" ht="41.25" customHeight="1" thickBot="1" x14ac:dyDescent="0.25">
      <c r="B24" s="695" t="s">
        <v>267</v>
      </c>
      <c r="C24" s="695"/>
      <c r="D24" s="64" t="s">
        <v>354</v>
      </c>
      <c r="E24" s="64">
        <v>7.0000000000000007E-2</v>
      </c>
      <c r="F24" s="97" t="s">
        <v>237</v>
      </c>
      <c r="G24" s="97">
        <v>0.04</v>
      </c>
      <c r="H24" s="217" t="s">
        <v>355</v>
      </c>
      <c r="I24" s="438">
        <v>1.9199999999999998E-2</v>
      </c>
      <c r="J24" s="30"/>
      <c r="K24" s="55"/>
    </row>
    <row r="25" spans="2:11" ht="41.25" customHeight="1" thickBot="1" x14ac:dyDescent="0.25">
      <c r="B25" s="695" t="s">
        <v>298</v>
      </c>
      <c r="C25" s="695"/>
      <c r="D25" s="64" t="s">
        <v>296</v>
      </c>
      <c r="E25" s="64">
        <v>0.15</v>
      </c>
      <c r="F25" s="97">
        <v>0.1</v>
      </c>
      <c r="G25" s="97">
        <v>0.06</v>
      </c>
      <c r="H25" s="217" t="s">
        <v>356</v>
      </c>
      <c r="I25" s="438">
        <v>3.85E-2</v>
      </c>
      <c r="J25" s="30"/>
      <c r="K25" s="55"/>
    </row>
    <row r="26" spans="2:11" ht="41.25" customHeight="1" thickBot="1" x14ac:dyDescent="0.25">
      <c r="B26" s="695" t="s">
        <v>269</v>
      </c>
      <c r="C26" s="695"/>
      <c r="D26" s="64" t="s">
        <v>296</v>
      </c>
      <c r="E26" s="64">
        <v>0.05</v>
      </c>
      <c r="F26" s="97">
        <v>0.06</v>
      </c>
      <c r="G26" s="97">
        <v>7.0000000000000007E-2</v>
      </c>
      <c r="H26" s="217" t="s">
        <v>348</v>
      </c>
      <c r="I26" s="438">
        <v>5.5599999999999997E-2</v>
      </c>
      <c r="J26" s="30"/>
      <c r="K26" s="55"/>
    </row>
    <row r="27" spans="2:11" ht="41.25" customHeight="1" thickBot="1" x14ac:dyDescent="0.25">
      <c r="B27" s="695" t="s">
        <v>270</v>
      </c>
      <c r="C27" s="695"/>
      <c r="D27" s="64" t="s">
        <v>296</v>
      </c>
      <c r="E27" s="64">
        <v>0</v>
      </c>
      <c r="F27" s="97">
        <v>0.09</v>
      </c>
      <c r="G27" s="97">
        <v>0.03</v>
      </c>
      <c r="H27" s="217" t="s">
        <v>348</v>
      </c>
      <c r="I27" s="438">
        <v>2.3800000000000002E-2</v>
      </c>
      <c r="J27" s="30"/>
      <c r="K27" s="55"/>
    </row>
    <row r="28" spans="2:11" ht="41.25" customHeight="1" thickBot="1" x14ac:dyDescent="0.25">
      <c r="B28" s="695" t="s">
        <v>283</v>
      </c>
      <c r="C28" s="695"/>
      <c r="D28" s="64" t="s">
        <v>296</v>
      </c>
      <c r="E28" s="64">
        <v>0.17</v>
      </c>
      <c r="F28" s="97">
        <v>0.14000000000000001</v>
      </c>
      <c r="G28" s="97">
        <v>0.09</v>
      </c>
      <c r="H28" s="217" t="s">
        <v>348</v>
      </c>
      <c r="I28" s="438">
        <v>8.3299999999999999E-2</v>
      </c>
      <c r="J28" s="30"/>
      <c r="K28" s="55"/>
    </row>
    <row r="29" spans="2:11" ht="41.25" customHeight="1" thickBot="1" x14ac:dyDescent="0.25">
      <c r="B29" s="695" t="s">
        <v>271</v>
      </c>
      <c r="C29" s="695"/>
      <c r="D29" s="64" t="s">
        <v>296</v>
      </c>
      <c r="E29" s="64">
        <v>0</v>
      </c>
      <c r="F29" s="97">
        <v>0</v>
      </c>
      <c r="G29" s="97">
        <v>0</v>
      </c>
      <c r="H29" s="217" t="s">
        <v>238</v>
      </c>
      <c r="I29" s="440">
        <v>0</v>
      </c>
      <c r="K29" s="70" t="s">
        <v>234</v>
      </c>
    </row>
    <row r="30" spans="2:11" ht="43.5" customHeight="1" thickBot="1" x14ac:dyDescent="0.25">
      <c r="B30" s="695" t="s">
        <v>272</v>
      </c>
      <c r="C30" s="695"/>
      <c r="D30" s="64" t="s">
        <v>296</v>
      </c>
      <c r="E30" s="64">
        <v>0.02</v>
      </c>
      <c r="F30" s="97">
        <v>0.03</v>
      </c>
      <c r="G30" s="97">
        <v>0.05</v>
      </c>
      <c r="H30" s="413" t="s">
        <v>357</v>
      </c>
      <c r="I30" s="441">
        <v>5.1299999999999998E-2</v>
      </c>
      <c r="J30" s="9"/>
      <c r="K30" s="9"/>
    </row>
    <row r="31" spans="2:11" ht="66.75" customHeight="1" x14ac:dyDescent="0.25">
      <c r="B31" s="687" t="str">
        <f>D5</f>
        <v>≤25%</v>
      </c>
      <c r="C31" s="687"/>
      <c r="D31" s="53">
        <f>COUNTIF(D13:D30,"&lt;=25%")</f>
        <v>6</v>
      </c>
      <c r="E31" s="53">
        <f t="shared" ref="E31:G31" si="0">COUNTIF(E13:E30,"&lt;=25%")</f>
        <v>14</v>
      </c>
      <c r="F31" s="53">
        <f t="shared" si="0"/>
        <v>14</v>
      </c>
      <c r="G31" s="53">
        <f t="shared" si="0"/>
        <v>16</v>
      </c>
      <c r="H31" s="53">
        <v>15</v>
      </c>
      <c r="I31" s="53">
        <v>16</v>
      </c>
      <c r="K31" s="154" t="s">
        <v>358</v>
      </c>
    </row>
    <row r="32" spans="2:11" ht="22.5" customHeight="1" x14ac:dyDescent="0.25">
      <c r="B32" s="723" t="s">
        <v>274</v>
      </c>
      <c r="C32" s="723"/>
      <c r="D32" s="53">
        <f>COUNT(D13:D30)</f>
        <v>8</v>
      </c>
      <c r="E32" s="53">
        <f>COUNT(E13:E30)</f>
        <v>15</v>
      </c>
      <c r="F32" s="53">
        <f>COUNT(F13:F30)</f>
        <v>15</v>
      </c>
      <c r="G32" s="53">
        <f>COUNT(G13:G30)</f>
        <v>18</v>
      </c>
      <c r="H32" s="53">
        <v>17</v>
      </c>
      <c r="I32" s="53">
        <v>17</v>
      </c>
      <c r="K32" s="774" t="s">
        <v>359</v>
      </c>
    </row>
    <row r="33" spans="2:11" ht="22.5" customHeight="1" x14ac:dyDescent="0.2">
      <c r="B33" s="685" t="s">
        <v>231</v>
      </c>
      <c r="C33" s="735"/>
      <c r="D33" s="124">
        <v>0.25</v>
      </c>
      <c r="E33" s="124">
        <v>0.25</v>
      </c>
      <c r="F33" s="124">
        <v>0.25</v>
      </c>
      <c r="G33" s="124">
        <v>0.25</v>
      </c>
      <c r="H33" s="124">
        <v>0.25</v>
      </c>
      <c r="I33" s="124">
        <v>0.25</v>
      </c>
      <c r="K33" s="774"/>
    </row>
    <row r="34" spans="2:11" ht="22.5" customHeight="1" x14ac:dyDescent="0.2">
      <c r="B34" s="685" t="s">
        <v>232</v>
      </c>
      <c r="C34" s="735"/>
      <c r="D34" s="59">
        <f t="shared" ref="D34:I34" si="1">D31/D32</f>
        <v>0.75</v>
      </c>
      <c r="E34" s="59">
        <f t="shared" si="1"/>
        <v>0.93333333333333335</v>
      </c>
      <c r="F34" s="59">
        <f t="shared" si="1"/>
        <v>0.93333333333333335</v>
      </c>
      <c r="G34" s="59">
        <f t="shared" si="1"/>
        <v>0.88888888888888884</v>
      </c>
      <c r="H34" s="59">
        <f t="shared" si="1"/>
        <v>0.88235294117647056</v>
      </c>
      <c r="I34" s="59">
        <f t="shared" si="1"/>
        <v>0.94117647058823528</v>
      </c>
      <c r="K34" s="774"/>
    </row>
    <row r="35" spans="2:11" ht="22.5" customHeight="1" x14ac:dyDescent="0.25">
      <c r="B35" s="7"/>
      <c r="C35" s="7"/>
      <c r="D35" s="6"/>
      <c r="E35" s="6"/>
      <c r="F35" s="6"/>
      <c r="G35" s="6"/>
      <c r="H35" s="6"/>
      <c r="I35" s="6"/>
      <c r="K35" s="774"/>
    </row>
    <row r="36" spans="2:11" ht="22.5" customHeight="1" x14ac:dyDescent="0.2">
      <c r="B36" s="594" t="s">
        <v>233</v>
      </c>
      <c r="C36" s="595"/>
      <c r="D36" s="595"/>
      <c r="E36" s="596"/>
      <c r="F36" s="8"/>
      <c r="K36" s="774"/>
    </row>
    <row r="37" spans="2:11" ht="22.5" customHeight="1" x14ac:dyDescent="0.2">
      <c r="B37" s="8"/>
      <c r="C37" s="8"/>
      <c r="D37" s="8"/>
      <c r="E37" s="8"/>
      <c r="F37" s="8"/>
      <c r="K37" s="155"/>
    </row>
    <row r="38" spans="2:11" ht="6" customHeight="1" x14ac:dyDescent="0.2">
      <c r="B38" s="8"/>
      <c r="C38" s="8"/>
      <c r="D38" s="8"/>
      <c r="E38" s="8"/>
      <c r="F38" s="8"/>
      <c r="K38" s="155"/>
    </row>
    <row r="39" spans="2:11" ht="19.5" customHeight="1" x14ac:dyDescent="0.2">
      <c r="B39" s="8"/>
      <c r="C39" s="8"/>
      <c r="D39" s="8"/>
      <c r="E39" s="8"/>
      <c r="F39" s="8"/>
      <c r="K39" s="156"/>
    </row>
    <row r="40" spans="2:11" ht="19.5" customHeight="1" x14ac:dyDescent="0.2">
      <c r="B40" s="8"/>
      <c r="C40" s="8"/>
      <c r="D40" s="8"/>
      <c r="E40" s="8"/>
      <c r="F40" s="8"/>
    </row>
    <row r="41" spans="2:11" ht="19.5" customHeight="1" x14ac:dyDescent="0.2">
      <c r="B41" s="8"/>
      <c r="C41" s="8"/>
      <c r="D41" s="8"/>
      <c r="E41" s="8"/>
      <c r="F41" s="8"/>
    </row>
    <row r="42" spans="2:11" ht="19.5" customHeight="1" x14ac:dyDescent="0.2">
      <c r="B42" s="8"/>
      <c r="C42" s="8"/>
      <c r="D42" s="8"/>
      <c r="E42" s="8"/>
      <c r="F42" s="8"/>
    </row>
    <row r="43" spans="2:11" ht="19.5" customHeight="1" x14ac:dyDescent="0.2">
      <c r="B43" s="8"/>
      <c r="C43" s="8"/>
      <c r="D43" s="8"/>
      <c r="E43" s="8"/>
      <c r="F43" s="8"/>
    </row>
    <row r="44" spans="2:11" ht="19.5" customHeight="1" x14ac:dyDescent="0.2">
      <c r="B44" s="8"/>
      <c r="C44" s="8"/>
      <c r="D44" s="8"/>
      <c r="E44" s="8"/>
      <c r="F44" s="8"/>
    </row>
    <row r="45" spans="2:11" ht="19.5" customHeight="1" x14ac:dyDescent="0.2">
      <c r="B45" s="8"/>
      <c r="C45" s="8"/>
      <c r="D45" s="8"/>
      <c r="E45" s="8"/>
      <c r="F45" s="8"/>
    </row>
    <row r="46" spans="2:11" ht="19.5" customHeight="1" x14ac:dyDescent="0.2">
      <c r="B46" s="8"/>
      <c r="C46" s="8"/>
      <c r="D46" s="8"/>
      <c r="E46" s="8"/>
      <c r="F46" s="8"/>
    </row>
    <row r="47" spans="2:11" ht="19.5" customHeight="1" x14ac:dyDescent="0.2"/>
    <row r="48" spans="2:11" ht="19.5" customHeight="1" x14ac:dyDescent="0.2">
      <c r="H48" s="588" t="s">
        <v>172</v>
      </c>
      <c r="I48" s="589"/>
      <c r="J48" s="589"/>
    </row>
  </sheetData>
  <sheetProtection sheet="1" formatCells="0" formatColumns="0" formatRows="0" insertColumns="0" insertRows="0" insertHyperlinks="0" deleteColumns="0" deleteRows="0" pivotTables="0"/>
  <mergeCells count="41">
    <mergeCell ref="K32:K36"/>
    <mergeCell ref="B2:D2"/>
    <mergeCell ref="E2:J2"/>
    <mergeCell ref="B4:C4"/>
    <mergeCell ref="D4:E4"/>
    <mergeCell ref="F4:G4"/>
    <mergeCell ref="H4:J4"/>
    <mergeCell ref="B7:C7"/>
    <mergeCell ref="D7:J7"/>
    <mergeCell ref="B5:C5"/>
    <mergeCell ref="D5:E5"/>
    <mergeCell ref="F5:G5"/>
    <mergeCell ref="H5:J5"/>
    <mergeCell ref="B6:C6"/>
    <mergeCell ref="D6:E6"/>
    <mergeCell ref="F6:G6"/>
    <mergeCell ref="B9:J9"/>
    <mergeCell ref="B13:C13"/>
    <mergeCell ref="B15:C15"/>
    <mergeCell ref="B19:C19"/>
    <mergeCell ref="B20:C20"/>
    <mergeCell ref="B14:C14"/>
    <mergeCell ref="B16:C16"/>
    <mergeCell ref="B17:C17"/>
    <mergeCell ref="B18:C18"/>
    <mergeCell ref="H48:J48"/>
    <mergeCell ref="B34:C34"/>
    <mergeCell ref="B36:E36"/>
    <mergeCell ref="B21:C21"/>
    <mergeCell ref="B28:C28"/>
    <mergeCell ref="B29:C29"/>
    <mergeCell ref="B22:C22"/>
    <mergeCell ref="B23:C23"/>
    <mergeCell ref="B30:C30"/>
    <mergeCell ref="B25:C25"/>
    <mergeCell ref="B26:C26"/>
    <mergeCell ref="B24:C24"/>
    <mergeCell ref="B31:C31"/>
    <mergeCell ref="B32:C32"/>
    <mergeCell ref="B33:C33"/>
    <mergeCell ref="B27:C27"/>
  </mergeCells>
  <conditionalFormatting sqref="D13:G13 D14:E14 G14 D15:G16 E17:G17 G18 D19:G19 E20:G20 D21:G23 E24 G24 E25:G30">
    <cfRule type="cellIs" dxfId="44" priority="2" operator="greaterThan">
      <formula>0.25</formula>
    </cfRule>
  </conditionalFormatting>
  <pageMargins left="0.7" right="0.7" top="0.75" bottom="0.75" header="0" footer="0"/>
  <pageSetup paperSize="9" orientation="portrait" r:id="rId1"/>
  <ignoredErrors>
    <ignoredError sqref="H34" evalErro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35A96-0A0D-4ECC-8DC0-164F978DBBF3}">
  <sheetPr>
    <tabColor theme="9" tint="-0.499984740745262"/>
    <pageSetUpPr fitToPage="1"/>
  </sheetPr>
  <dimension ref="B2:K47"/>
  <sheetViews>
    <sheetView showGridLines="0" topLeftCell="A38" workbookViewId="0">
      <selection activeCell="J46" sqref="J46"/>
    </sheetView>
  </sheetViews>
  <sheetFormatPr defaultColWidth="12.5703125" defaultRowHeight="15.75" customHeight="1" x14ac:dyDescent="0.2"/>
  <cols>
    <col min="1" max="1" width="3.42578125" customWidth="1"/>
    <col min="2" max="2" width="14.140625" customWidth="1"/>
    <col min="3" max="3" width="12.5703125" customWidth="1"/>
    <col min="4" max="4" width="15" customWidth="1"/>
    <col min="5" max="5" width="14" customWidth="1"/>
    <col min="6" max="6" width="14.140625" customWidth="1"/>
    <col min="7" max="7" width="13.7109375" customWidth="1"/>
    <col min="8" max="8" width="14.28515625" customWidth="1"/>
    <col min="9" max="9" width="13.7109375" customWidth="1"/>
    <col min="10" max="10" width="36.28515625" customWidth="1"/>
    <col min="11" max="11" width="29.28515625" customWidth="1"/>
    <col min="12" max="20" width="7.5703125" customWidth="1"/>
  </cols>
  <sheetData>
    <row r="2" spans="2:10" ht="55.5" customHeight="1" x14ac:dyDescent="0.2">
      <c r="B2" s="670"/>
      <c r="C2" s="671"/>
      <c r="D2" s="672"/>
      <c r="E2" s="673" t="s">
        <v>213</v>
      </c>
      <c r="F2" s="671"/>
      <c r="G2" s="671"/>
      <c r="H2" s="671"/>
      <c r="I2" s="671"/>
      <c r="J2" s="672"/>
    </row>
    <row r="3" spans="2:10" ht="22.5" customHeight="1" x14ac:dyDescent="0.2">
      <c r="B3" s="46"/>
      <c r="C3" s="46"/>
      <c r="D3" s="47"/>
      <c r="E3" s="47"/>
      <c r="F3" s="47"/>
      <c r="G3" s="47"/>
      <c r="H3" s="47"/>
      <c r="I3" s="47"/>
    </row>
    <row r="4" spans="2:10" ht="42" customHeight="1" x14ac:dyDescent="0.2">
      <c r="B4" s="594" t="s">
        <v>214</v>
      </c>
      <c r="C4" s="596"/>
      <c r="D4" s="674" t="str">
        <f>Índex!B31</f>
        <v xml:space="preserve">PC2.04_Ind03. </v>
      </c>
      <c r="E4" s="672"/>
      <c r="F4" s="594" t="s">
        <v>215</v>
      </c>
      <c r="G4" s="596"/>
      <c r="H4" s="674" t="str">
        <f>Índex!C31</f>
        <v>Taxa d’eficiència per titulació</v>
      </c>
      <c r="I4" s="671"/>
      <c r="J4" s="672"/>
    </row>
    <row r="5" spans="2:10" ht="22.5" customHeight="1" x14ac:dyDescent="0.2">
      <c r="B5" s="594" t="s">
        <v>323</v>
      </c>
      <c r="C5" s="596"/>
      <c r="D5" s="736">
        <f>Índex!F31</f>
        <v>0.75</v>
      </c>
      <c r="E5" s="672"/>
      <c r="F5" s="732" t="s">
        <v>217</v>
      </c>
      <c r="G5" s="596"/>
      <c r="H5" s="775" t="s">
        <v>241</v>
      </c>
      <c r="I5" s="671"/>
      <c r="J5" s="636"/>
    </row>
    <row r="6" spans="2:10" ht="22.5" customHeight="1" x14ac:dyDescent="0.2">
      <c r="B6" s="594" t="s">
        <v>219</v>
      </c>
      <c r="C6" s="596"/>
      <c r="D6" s="674" t="s">
        <v>220</v>
      </c>
      <c r="E6" s="672"/>
      <c r="F6" s="594" t="s">
        <v>242</v>
      </c>
      <c r="G6" s="596"/>
      <c r="H6" s="12" t="str">
        <f>Índex!E31</f>
        <v>Gestora de Qualitat</v>
      </c>
      <c r="J6" s="108"/>
    </row>
    <row r="7" spans="2:10" ht="22.5" customHeight="1" x14ac:dyDescent="0.2">
      <c r="B7" s="594" t="s">
        <v>222</v>
      </c>
      <c r="C7" s="596"/>
      <c r="D7" s="674" t="str">
        <f>Índex!G31</f>
        <v>PC2.04. Seguiment  i Millora de Titulacions</v>
      </c>
      <c r="E7" s="671"/>
      <c r="F7" s="671"/>
      <c r="G7" s="671"/>
      <c r="H7" s="671"/>
      <c r="I7" s="671"/>
      <c r="J7" s="672"/>
    </row>
    <row r="8" spans="2:10" ht="7.5" customHeight="1" x14ac:dyDescent="0.2"/>
    <row r="9" spans="2:10" ht="22.5" customHeight="1" x14ac:dyDescent="0.2">
      <c r="B9" s="594" t="s">
        <v>223</v>
      </c>
      <c r="C9" s="595"/>
      <c r="D9" s="595"/>
      <c r="E9" s="595"/>
      <c r="F9" s="595"/>
      <c r="G9" s="595"/>
      <c r="H9" s="595"/>
      <c r="I9" s="595"/>
      <c r="J9" s="596"/>
    </row>
    <row r="10" spans="2:10" ht="22.5" customHeight="1" x14ac:dyDescent="0.2">
      <c r="B10" s="14"/>
      <c r="C10" s="13"/>
      <c r="D10" s="13"/>
      <c r="E10" s="13"/>
      <c r="F10" s="13"/>
      <c r="G10" s="13"/>
      <c r="H10" s="13"/>
      <c r="I10" s="13"/>
      <c r="J10" s="13"/>
    </row>
    <row r="11" spans="2:10" ht="22.5" customHeight="1" x14ac:dyDescent="0.2"/>
    <row r="12" spans="2:10" ht="22.5" customHeight="1" x14ac:dyDescent="0.2">
      <c r="B12" s="16"/>
      <c r="C12" s="16"/>
      <c r="D12" s="105" t="s">
        <v>360</v>
      </c>
      <c r="E12" s="105" t="s">
        <v>361</v>
      </c>
      <c r="F12" s="105" t="s">
        <v>362</v>
      </c>
      <c r="G12" s="105" t="s">
        <v>363</v>
      </c>
      <c r="H12" s="105" t="s">
        <v>364</v>
      </c>
      <c r="I12" s="105" t="s">
        <v>365</v>
      </c>
    </row>
    <row r="13" spans="2:10" ht="41.25" customHeight="1" x14ac:dyDescent="0.2">
      <c r="B13" s="695" t="s">
        <v>244</v>
      </c>
      <c r="C13" s="695"/>
      <c r="D13" s="60">
        <v>0.95</v>
      </c>
      <c r="E13" s="60">
        <v>0.93</v>
      </c>
      <c r="F13" s="60">
        <v>0.97</v>
      </c>
      <c r="G13" s="60">
        <v>0.93</v>
      </c>
      <c r="H13" s="60">
        <v>0.92</v>
      </c>
      <c r="I13" s="60">
        <v>0.94</v>
      </c>
      <c r="J13" s="126"/>
    </row>
    <row r="14" spans="2:10" ht="41.25" customHeight="1" x14ac:dyDescent="0.2">
      <c r="B14" s="695" t="s">
        <v>261</v>
      </c>
      <c r="C14" s="695"/>
      <c r="D14" s="60">
        <v>0.99</v>
      </c>
      <c r="E14" s="60">
        <v>0.95</v>
      </c>
      <c r="F14" s="60">
        <v>0.96</v>
      </c>
      <c r="G14" s="60">
        <v>0.94</v>
      </c>
      <c r="H14" s="60">
        <v>0.95</v>
      </c>
      <c r="I14" s="60">
        <v>0.79</v>
      </c>
      <c r="J14" s="126"/>
    </row>
    <row r="15" spans="2:10" ht="41.25" customHeight="1" x14ac:dyDescent="0.2">
      <c r="B15" s="695" t="s">
        <v>293</v>
      </c>
      <c r="C15" s="695"/>
      <c r="D15" s="60">
        <v>0.98</v>
      </c>
      <c r="E15" s="60">
        <v>0.85</v>
      </c>
      <c r="F15" s="60">
        <v>0.89</v>
      </c>
      <c r="G15" s="60">
        <v>0.84</v>
      </c>
      <c r="H15" s="60">
        <v>0.71</v>
      </c>
      <c r="I15" s="60">
        <v>0.96</v>
      </c>
      <c r="J15" s="126"/>
    </row>
    <row r="16" spans="2:10" ht="41.25" customHeight="1" x14ac:dyDescent="0.2">
      <c r="B16" s="695" t="s">
        <v>247</v>
      </c>
      <c r="C16" s="695"/>
      <c r="D16" s="60">
        <v>0.91</v>
      </c>
      <c r="E16" s="60">
        <v>0.91</v>
      </c>
      <c r="F16" s="60">
        <v>0.89</v>
      </c>
      <c r="G16" s="60">
        <v>0.87</v>
      </c>
      <c r="H16" s="60">
        <v>0.9</v>
      </c>
      <c r="I16" s="60">
        <v>0.91</v>
      </c>
      <c r="J16" s="126"/>
    </row>
    <row r="17" spans="2:11" ht="41.25" customHeight="1" x14ac:dyDescent="0.2">
      <c r="B17" s="695" t="s">
        <v>336</v>
      </c>
      <c r="C17" s="695"/>
      <c r="D17" s="60">
        <v>1</v>
      </c>
      <c r="E17" s="60">
        <v>0.99</v>
      </c>
      <c r="F17" s="60">
        <v>0.99</v>
      </c>
      <c r="G17" s="60">
        <v>0.99</v>
      </c>
      <c r="H17" s="60">
        <v>0.98</v>
      </c>
      <c r="I17" s="60">
        <v>0.98</v>
      </c>
      <c r="J17" s="126"/>
      <c r="K17" s="23"/>
    </row>
    <row r="18" spans="2:11" ht="41.25" customHeight="1" x14ac:dyDescent="0.2">
      <c r="B18" s="695" t="s">
        <v>337</v>
      </c>
      <c r="C18" s="695"/>
      <c r="D18" s="109" t="s">
        <v>296</v>
      </c>
      <c r="E18" s="60">
        <v>0.95</v>
      </c>
      <c r="F18" s="60">
        <v>0.97</v>
      </c>
      <c r="G18" s="60">
        <v>0.95</v>
      </c>
      <c r="H18" s="60" t="s">
        <v>237</v>
      </c>
      <c r="I18" s="60" t="s">
        <v>237</v>
      </c>
      <c r="J18" s="126"/>
      <c r="K18" s="23"/>
    </row>
    <row r="19" spans="2:11" ht="41.25" customHeight="1" x14ac:dyDescent="0.2">
      <c r="B19" s="695" t="s">
        <v>250</v>
      </c>
      <c r="C19" s="695"/>
      <c r="D19" s="60">
        <v>0.88</v>
      </c>
      <c r="E19" s="60">
        <v>0.86</v>
      </c>
      <c r="F19" s="60">
        <v>0.87</v>
      </c>
      <c r="G19" s="60">
        <v>0.84</v>
      </c>
      <c r="H19" s="60">
        <v>0.81</v>
      </c>
      <c r="I19" s="60">
        <v>0.87</v>
      </c>
      <c r="J19" s="126"/>
      <c r="K19" s="23"/>
    </row>
    <row r="20" spans="2:11" ht="41.25" customHeight="1" x14ac:dyDescent="0.2">
      <c r="B20" s="695" t="s">
        <v>252</v>
      </c>
      <c r="C20" s="695"/>
      <c r="D20" s="60">
        <v>0.81</v>
      </c>
      <c r="E20" s="60">
        <v>0.84</v>
      </c>
      <c r="F20" s="60">
        <v>0.84</v>
      </c>
      <c r="G20" s="60">
        <v>0.83</v>
      </c>
      <c r="H20" s="60">
        <v>0.84</v>
      </c>
      <c r="I20" s="60">
        <v>0.89</v>
      </c>
      <c r="J20" s="29"/>
    </row>
    <row r="21" spans="2:11" ht="41.25" customHeight="1" x14ac:dyDescent="0.2">
      <c r="B21" s="695" t="s">
        <v>253</v>
      </c>
      <c r="C21" s="695"/>
      <c r="D21" s="60">
        <v>0.94</v>
      </c>
      <c r="E21" s="60">
        <v>0.93</v>
      </c>
      <c r="F21" s="60">
        <v>0.93</v>
      </c>
      <c r="G21" s="60">
        <v>0.92</v>
      </c>
      <c r="H21" s="60">
        <v>0.92</v>
      </c>
      <c r="I21" s="60">
        <v>0.93</v>
      </c>
      <c r="J21" s="30"/>
      <c r="K21" s="55"/>
    </row>
    <row r="22" spans="2:11" ht="41.25" customHeight="1" x14ac:dyDescent="0.2">
      <c r="B22" s="695" t="s">
        <v>254</v>
      </c>
      <c r="C22" s="695"/>
      <c r="D22" s="60">
        <v>0.91</v>
      </c>
      <c r="E22" s="60">
        <v>0.87</v>
      </c>
      <c r="F22" s="60">
        <v>0.88</v>
      </c>
      <c r="G22" s="60">
        <v>0.87</v>
      </c>
      <c r="H22" s="60">
        <v>0.86</v>
      </c>
      <c r="I22" s="60">
        <v>0.71</v>
      </c>
      <c r="J22" s="30"/>
      <c r="K22" s="55"/>
    </row>
    <row r="23" spans="2:11" ht="41.25" customHeight="1" x14ac:dyDescent="0.2">
      <c r="B23" s="695" t="s">
        <v>267</v>
      </c>
      <c r="C23" s="695"/>
      <c r="D23" s="60">
        <v>0.99</v>
      </c>
      <c r="E23" s="60">
        <v>1</v>
      </c>
      <c r="F23" s="60">
        <v>0.98</v>
      </c>
      <c r="G23" s="60">
        <v>1</v>
      </c>
      <c r="H23" s="60">
        <v>1</v>
      </c>
      <c r="I23" s="60">
        <v>1</v>
      </c>
      <c r="J23" s="30"/>
      <c r="K23" s="55"/>
    </row>
    <row r="24" spans="2:11" ht="41.25" customHeight="1" x14ac:dyDescent="0.2">
      <c r="B24" s="695" t="s">
        <v>298</v>
      </c>
      <c r="C24" s="695"/>
      <c r="D24" s="60">
        <v>1</v>
      </c>
      <c r="E24" s="60">
        <v>0.96</v>
      </c>
      <c r="F24" s="60">
        <v>0.98</v>
      </c>
      <c r="G24" s="60">
        <v>1</v>
      </c>
      <c r="H24" s="60">
        <v>1</v>
      </c>
      <c r="I24" s="60">
        <v>1</v>
      </c>
      <c r="J24" s="30"/>
      <c r="K24" s="55"/>
    </row>
    <row r="25" spans="2:11" ht="41.25" customHeight="1" x14ac:dyDescent="0.2">
      <c r="B25" s="695" t="s">
        <v>269</v>
      </c>
      <c r="C25" s="695"/>
      <c r="D25" s="60">
        <v>1</v>
      </c>
      <c r="E25" s="60">
        <v>1</v>
      </c>
      <c r="F25" s="60">
        <v>0.97</v>
      </c>
      <c r="G25" s="60">
        <v>0.97</v>
      </c>
      <c r="H25" s="60">
        <v>0.98</v>
      </c>
      <c r="I25" s="60">
        <v>1</v>
      </c>
      <c r="J25" s="30"/>
      <c r="K25" s="55"/>
    </row>
    <row r="26" spans="2:11" ht="41.25" customHeight="1" x14ac:dyDescent="0.2">
      <c r="B26" s="695" t="s">
        <v>270</v>
      </c>
      <c r="C26" s="695"/>
      <c r="D26" s="60">
        <v>0.96</v>
      </c>
      <c r="E26" s="60">
        <v>0.98</v>
      </c>
      <c r="F26" s="60">
        <v>0.99</v>
      </c>
      <c r="G26" s="60">
        <v>0.99</v>
      </c>
      <c r="H26" s="60">
        <v>0.98</v>
      </c>
      <c r="I26" s="60">
        <v>1</v>
      </c>
      <c r="J26" s="30"/>
      <c r="K26" s="55"/>
    </row>
    <row r="27" spans="2:11" ht="41.25" customHeight="1" x14ac:dyDescent="0.2">
      <c r="B27" s="695" t="s">
        <v>283</v>
      </c>
      <c r="C27" s="695"/>
      <c r="D27" s="60">
        <v>0.93</v>
      </c>
      <c r="E27" s="60">
        <v>0.98</v>
      </c>
      <c r="F27" s="60">
        <v>0.98</v>
      </c>
      <c r="G27" s="60">
        <v>0.98</v>
      </c>
      <c r="H27" s="60">
        <v>1</v>
      </c>
      <c r="I27" s="60">
        <v>1</v>
      </c>
      <c r="J27" s="30"/>
      <c r="K27" s="55"/>
    </row>
    <row r="28" spans="2:11" ht="41.25" customHeight="1" x14ac:dyDescent="0.2">
      <c r="B28" s="695" t="s">
        <v>271</v>
      </c>
      <c r="C28" s="695"/>
      <c r="D28" s="60">
        <v>1</v>
      </c>
      <c r="E28" s="60">
        <v>1</v>
      </c>
      <c r="F28" s="60">
        <v>1</v>
      </c>
      <c r="G28" s="60">
        <v>0.96</v>
      </c>
      <c r="H28" s="60" t="s">
        <v>237</v>
      </c>
      <c r="I28" s="60">
        <v>1</v>
      </c>
      <c r="J28" s="30"/>
      <c r="K28" s="55"/>
    </row>
    <row r="29" spans="2:11" ht="43.5" customHeight="1" x14ac:dyDescent="0.2">
      <c r="B29" s="695" t="s">
        <v>272</v>
      </c>
      <c r="C29" s="695"/>
      <c r="D29" s="60">
        <v>1</v>
      </c>
      <c r="E29" s="60">
        <v>1</v>
      </c>
      <c r="F29" s="60">
        <v>0.98</v>
      </c>
      <c r="G29" s="60">
        <v>0.98</v>
      </c>
      <c r="H29" s="60">
        <v>0.97</v>
      </c>
      <c r="I29" s="60">
        <v>1</v>
      </c>
      <c r="K29" s="70" t="s">
        <v>234</v>
      </c>
    </row>
    <row r="30" spans="2:11" ht="22.5" customHeight="1" x14ac:dyDescent="0.25">
      <c r="B30" s="687">
        <f>D5</f>
        <v>0.75</v>
      </c>
      <c r="C30" s="687"/>
      <c r="D30" s="53">
        <f>COUNTIF(D13:D29,"&gt;=75%")</f>
        <v>16</v>
      </c>
      <c r="E30" s="53">
        <f>COUNTIF(E13:E29,"&gt;=75%")</f>
        <v>17</v>
      </c>
      <c r="F30" s="53">
        <f>COUNTIF(F13:F29,"&gt;=75%")</f>
        <v>17</v>
      </c>
      <c r="G30" s="53">
        <f>COUNTIF(G13:G29,"&gt;=75%")</f>
        <v>17</v>
      </c>
      <c r="H30" s="53">
        <v>15</v>
      </c>
      <c r="I30" s="53">
        <v>15</v>
      </c>
      <c r="K30" s="9"/>
    </row>
    <row r="31" spans="2:11" ht="30.75" customHeight="1" x14ac:dyDescent="0.25">
      <c r="B31" s="689" t="s">
        <v>274</v>
      </c>
      <c r="C31" s="689"/>
      <c r="D31" s="53">
        <f t="shared" ref="D31:I31" si="0">COUNT(D13:D29)</f>
        <v>16</v>
      </c>
      <c r="E31" s="53">
        <f t="shared" si="0"/>
        <v>17</v>
      </c>
      <c r="F31" s="53">
        <f t="shared" si="0"/>
        <v>17</v>
      </c>
      <c r="G31" s="53">
        <f t="shared" si="0"/>
        <v>17</v>
      </c>
      <c r="H31" s="53">
        <f t="shared" si="0"/>
        <v>15</v>
      </c>
      <c r="I31" s="53">
        <f t="shared" si="0"/>
        <v>16</v>
      </c>
      <c r="K31" s="153" t="s">
        <v>366</v>
      </c>
    </row>
    <row r="32" spans="2:11" ht="22.5" customHeight="1" x14ac:dyDescent="0.2">
      <c r="B32" s="685" t="s">
        <v>231</v>
      </c>
      <c r="C32" s="735"/>
      <c r="D32" s="124">
        <f t="shared" ref="D32:I32" si="1">$D5</f>
        <v>0.75</v>
      </c>
      <c r="E32" s="124">
        <f t="shared" si="1"/>
        <v>0.75</v>
      </c>
      <c r="F32" s="124">
        <f t="shared" si="1"/>
        <v>0.75</v>
      </c>
      <c r="G32" s="124">
        <f t="shared" si="1"/>
        <v>0.75</v>
      </c>
      <c r="H32" s="124">
        <f t="shared" si="1"/>
        <v>0.75</v>
      </c>
      <c r="I32" s="124">
        <f t="shared" si="1"/>
        <v>0.75</v>
      </c>
      <c r="K32" s="174" t="s">
        <v>367</v>
      </c>
    </row>
    <row r="33" spans="2:10" ht="22.5" customHeight="1" x14ac:dyDescent="0.2">
      <c r="B33" s="685" t="s">
        <v>232</v>
      </c>
      <c r="C33" s="735"/>
      <c r="D33" s="106">
        <f t="shared" ref="D33:I33" si="2">D30/D31</f>
        <v>1</v>
      </c>
      <c r="E33" s="106">
        <f t="shared" si="2"/>
        <v>1</v>
      </c>
      <c r="F33" s="106">
        <f t="shared" si="2"/>
        <v>1</v>
      </c>
      <c r="G33" s="106">
        <f t="shared" si="2"/>
        <v>1</v>
      </c>
      <c r="H33" s="59">
        <v>0.9375</v>
      </c>
      <c r="I33" s="59">
        <f t="shared" si="2"/>
        <v>0.9375</v>
      </c>
    </row>
    <row r="34" spans="2:10" ht="22.5" customHeight="1" x14ac:dyDescent="0.25">
      <c r="B34" s="7"/>
      <c r="C34" s="7"/>
      <c r="D34" s="6"/>
      <c r="E34" s="6"/>
      <c r="F34" s="6"/>
      <c r="G34" s="6"/>
      <c r="H34" s="6"/>
      <c r="I34" s="6"/>
    </row>
    <row r="35" spans="2:10" ht="22.5" customHeight="1" x14ac:dyDescent="0.2">
      <c r="B35" s="594" t="s">
        <v>233</v>
      </c>
      <c r="C35" s="595"/>
      <c r="D35" s="595"/>
      <c r="E35" s="596"/>
      <c r="F35" s="8"/>
    </row>
    <row r="36" spans="2:10" ht="22.5" customHeight="1" x14ac:dyDescent="0.2">
      <c r="B36" s="8"/>
      <c r="C36" s="8"/>
      <c r="D36" s="8"/>
      <c r="E36" s="8"/>
      <c r="F36" s="8"/>
    </row>
    <row r="37" spans="2:10" ht="6" customHeight="1" x14ac:dyDescent="0.2">
      <c r="B37" s="8"/>
      <c r="C37" s="8"/>
      <c r="D37" s="8"/>
      <c r="E37" s="8"/>
      <c r="F37" s="8"/>
    </row>
    <row r="38" spans="2:10" ht="19.5" customHeight="1" x14ac:dyDescent="0.2">
      <c r="B38" s="8"/>
      <c r="C38" s="8"/>
      <c r="D38" s="8"/>
      <c r="E38" s="8"/>
      <c r="F38" s="8"/>
    </row>
    <row r="39" spans="2:10" ht="19.5" customHeight="1" x14ac:dyDescent="0.2">
      <c r="B39" s="8"/>
      <c r="C39" s="8"/>
      <c r="D39" s="8"/>
      <c r="E39" s="8"/>
      <c r="F39" s="8"/>
    </row>
    <row r="40" spans="2:10" ht="19.5" customHeight="1" x14ac:dyDescent="0.2">
      <c r="B40" s="8"/>
      <c r="C40" s="8"/>
      <c r="D40" s="8"/>
      <c r="E40" s="8"/>
      <c r="F40" s="8"/>
    </row>
    <row r="41" spans="2:10" ht="19.5" customHeight="1" x14ac:dyDescent="0.2">
      <c r="B41" s="8"/>
      <c r="C41" s="8"/>
      <c r="D41" s="8"/>
      <c r="E41" s="8"/>
      <c r="F41" s="8"/>
    </row>
    <row r="42" spans="2:10" ht="19.5" customHeight="1" x14ac:dyDescent="0.2">
      <c r="B42" s="8"/>
      <c r="C42" s="8"/>
      <c r="D42" s="8"/>
      <c r="E42" s="8"/>
      <c r="F42" s="8"/>
    </row>
    <row r="43" spans="2:10" ht="19.5" customHeight="1" x14ac:dyDescent="0.2">
      <c r="B43" s="8"/>
      <c r="C43" s="8"/>
      <c r="D43" s="8"/>
      <c r="E43" s="8"/>
      <c r="F43" s="8"/>
    </row>
    <row r="44" spans="2:10" ht="19.5" customHeight="1" x14ac:dyDescent="0.2">
      <c r="B44" s="8"/>
      <c r="C44" s="8"/>
      <c r="D44" s="8"/>
      <c r="E44" s="8"/>
      <c r="F44" s="8"/>
    </row>
    <row r="45" spans="2:10" ht="19.5" customHeight="1" x14ac:dyDescent="0.2">
      <c r="B45" s="8"/>
      <c r="C45" s="8"/>
      <c r="D45" s="8"/>
      <c r="E45" s="8"/>
      <c r="F45" s="8"/>
    </row>
    <row r="46" spans="2:10" ht="19.5" customHeight="1" x14ac:dyDescent="0.2"/>
    <row r="47" spans="2:10" ht="19.5" customHeight="1" x14ac:dyDescent="0.2">
      <c r="H47" s="588" t="s">
        <v>172</v>
      </c>
      <c r="I47" s="589"/>
      <c r="J47" s="589"/>
    </row>
  </sheetData>
  <sheetProtection sheet="1" formatCells="0" formatColumns="0" formatRows="0" insertColumns="0" insertRows="0" insertHyperlinks="0" deleteColumns="0" deleteRows="0" pivotTables="0"/>
  <mergeCells count="39">
    <mergeCell ref="B2:D2"/>
    <mergeCell ref="E2:J2"/>
    <mergeCell ref="B4:C4"/>
    <mergeCell ref="D4:E4"/>
    <mergeCell ref="F4:G4"/>
    <mergeCell ref="H4:J4"/>
    <mergeCell ref="B7:C7"/>
    <mergeCell ref="D7:J7"/>
    <mergeCell ref="B5:C5"/>
    <mergeCell ref="D5:E5"/>
    <mergeCell ref="F5:G5"/>
    <mergeCell ref="H5:J5"/>
    <mergeCell ref="B6:C6"/>
    <mergeCell ref="D6:E6"/>
    <mergeCell ref="F6:G6"/>
    <mergeCell ref="B25:C25"/>
    <mergeCell ref="B9:J9"/>
    <mergeCell ref="B13:C13"/>
    <mergeCell ref="B14:C14"/>
    <mergeCell ref="B19:C19"/>
    <mergeCell ref="B20:C20"/>
    <mergeCell ref="B21:C21"/>
    <mergeCell ref="B22:C22"/>
    <mergeCell ref="B23:C23"/>
    <mergeCell ref="B24:C24"/>
    <mergeCell ref="B16:C16"/>
    <mergeCell ref="B17:C17"/>
    <mergeCell ref="B18:C18"/>
    <mergeCell ref="B15:C15"/>
    <mergeCell ref="H47:J47"/>
    <mergeCell ref="B26:C26"/>
    <mergeCell ref="B27:C27"/>
    <mergeCell ref="B28:C28"/>
    <mergeCell ref="B29:C29"/>
    <mergeCell ref="B30:C30"/>
    <mergeCell ref="B31:C31"/>
    <mergeCell ref="B32:C32"/>
    <mergeCell ref="B33:C33"/>
    <mergeCell ref="B35:E35"/>
  </mergeCells>
  <conditionalFormatting sqref="D13:I29">
    <cfRule type="cellIs" dxfId="43" priority="1" operator="lessThan">
      <formula>0.75</formula>
    </cfRule>
  </conditionalFormatting>
  <pageMargins left="0.7" right="0.7" top="0.75" bottom="0.75" header="0" footer="0"/>
  <pageSetup paperSize="9" orientation="portrait" r:id="rId1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0CF6A-F5EF-4FD1-81F0-D989B76A67A0}">
  <sheetPr>
    <tabColor theme="9" tint="-0.499984740745262"/>
    <pageSetUpPr fitToPage="1"/>
  </sheetPr>
  <dimension ref="B2:N65"/>
  <sheetViews>
    <sheetView showGridLines="0" topLeftCell="A39" workbookViewId="0">
      <selection activeCell="J47" sqref="J47"/>
    </sheetView>
  </sheetViews>
  <sheetFormatPr defaultColWidth="12.5703125" defaultRowHeight="15.75" customHeight="1" x14ac:dyDescent="0.2"/>
  <cols>
    <col min="1" max="1" width="3.42578125" customWidth="1"/>
    <col min="2" max="2" width="14.140625" customWidth="1"/>
    <col min="3" max="3" width="12.5703125" customWidth="1"/>
    <col min="4" max="4" width="17.28515625" bestFit="1" customWidth="1"/>
    <col min="5" max="9" width="12.5703125" customWidth="1"/>
    <col min="10" max="10" width="36.28515625" customWidth="1"/>
    <col min="11" max="20" width="7.5703125" customWidth="1"/>
  </cols>
  <sheetData>
    <row r="2" spans="2:10" ht="55.5" customHeight="1" x14ac:dyDescent="0.2">
      <c r="B2" s="670"/>
      <c r="C2" s="671"/>
      <c r="D2" s="672"/>
      <c r="E2" s="673" t="s">
        <v>213</v>
      </c>
      <c r="F2" s="671"/>
      <c r="G2" s="671"/>
      <c r="H2" s="671"/>
      <c r="I2" s="671"/>
      <c r="J2" s="672"/>
    </row>
    <row r="3" spans="2:10" ht="22.5" customHeight="1" x14ac:dyDescent="0.2">
      <c r="B3" s="46"/>
      <c r="C3" s="46"/>
      <c r="D3" s="47"/>
      <c r="E3" s="47"/>
      <c r="F3" s="47"/>
      <c r="G3" s="47"/>
      <c r="H3" s="47"/>
      <c r="I3" s="47"/>
    </row>
    <row r="4" spans="2:10" ht="42" customHeight="1" x14ac:dyDescent="0.2">
      <c r="B4" s="594" t="s">
        <v>214</v>
      </c>
      <c r="C4" s="596"/>
      <c r="D4" s="674" t="str">
        <f>Índex!B32</f>
        <v>PC2.04_Ind04.</v>
      </c>
      <c r="E4" s="672"/>
      <c r="F4" s="594" t="s">
        <v>215</v>
      </c>
      <c r="G4" s="596"/>
      <c r="H4" s="674" t="str">
        <f>Índex!C32</f>
        <v>Nombre de titulacions amb una valoració global superior o igual a 3 sobre 4 (Enquesta d’assignatures)</v>
      </c>
      <c r="I4" s="671"/>
      <c r="J4" s="672"/>
    </row>
    <row r="5" spans="2:10" ht="22.5" customHeight="1" x14ac:dyDescent="0.2">
      <c r="B5" s="594" t="s">
        <v>368</v>
      </c>
      <c r="C5" s="596"/>
      <c r="D5" s="736" t="str">
        <f>Índex!F32</f>
        <v>≥80%</v>
      </c>
      <c r="E5" s="672"/>
      <c r="F5" s="732" t="s">
        <v>217</v>
      </c>
      <c r="G5" s="596"/>
      <c r="H5" s="775" t="s">
        <v>241</v>
      </c>
      <c r="I5" s="671"/>
      <c r="J5" s="636"/>
    </row>
    <row r="6" spans="2:10" ht="22.5" customHeight="1" x14ac:dyDescent="0.2">
      <c r="B6" s="594" t="s">
        <v>219</v>
      </c>
      <c r="C6" s="596"/>
      <c r="D6" s="674" t="s">
        <v>220</v>
      </c>
      <c r="E6" s="672"/>
      <c r="F6" s="594" t="s">
        <v>242</v>
      </c>
      <c r="G6" s="596"/>
      <c r="H6" s="12" t="str">
        <f>Índex!E32</f>
        <v>Gestora de Qualitat</v>
      </c>
      <c r="J6" s="108"/>
    </row>
    <row r="7" spans="2:10" ht="22.5" customHeight="1" x14ac:dyDescent="0.2">
      <c r="B7" s="594" t="s">
        <v>222</v>
      </c>
      <c r="C7" s="596"/>
      <c r="D7" s="674" t="str">
        <f>Índex!G32</f>
        <v>PC2.04. Seguiment  i Millora de Titulacions</v>
      </c>
      <c r="E7" s="671"/>
      <c r="F7" s="671"/>
      <c r="G7" s="671"/>
      <c r="H7" s="671"/>
      <c r="I7" s="671"/>
      <c r="J7" s="672"/>
    </row>
    <row r="8" spans="2:10" ht="7.5" customHeight="1" x14ac:dyDescent="0.2"/>
    <row r="9" spans="2:10" ht="22.5" customHeight="1" x14ac:dyDescent="0.2">
      <c r="B9" s="779" t="s">
        <v>223</v>
      </c>
      <c r="C9" s="780"/>
      <c r="D9" s="780"/>
      <c r="E9" s="780"/>
      <c r="F9" s="780"/>
      <c r="G9" s="780"/>
      <c r="H9" s="780"/>
      <c r="I9" s="595"/>
      <c r="J9" s="596"/>
    </row>
    <row r="10" spans="2:10" ht="22.5" customHeight="1" x14ac:dyDescent="0.2">
      <c r="B10" s="517"/>
      <c r="C10" s="517"/>
      <c r="D10" s="94" t="s">
        <v>225</v>
      </c>
      <c r="E10" s="94" t="s">
        <v>226</v>
      </c>
      <c r="F10" s="94" t="s">
        <v>227</v>
      </c>
      <c r="G10" s="94" t="s">
        <v>228</v>
      </c>
      <c r="H10" s="94" t="s">
        <v>229</v>
      </c>
      <c r="I10" s="13"/>
      <c r="J10" s="13"/>
    </row>
    <row r="11" spans="2:10" ht="22.5" customHeight="1" x14ac:dyDescent="0.2">
      <c r="B11" s="627" t="s">
        <v>244</v>
      </c>
      <c r="C11" s="627"/>
      <c r="D11" s="31">
        <v>3.01</v>
      </c>
      <c r="E11" s="31">
        <v>3.13</v>
      </c>
      <c r="F11" s="31">
        <v>3.02</v>
      </c>
      <c r="G11" s="31">
        <v>3.09</v>
      </c>
      <c r="H11" s="31">
        <v>3.0249999999999999</v>
      </c>
      <c r="I11" s="13"/>
      <c r="J11" s="13"/>
    </row>
    <row r="12" spans="2:10" ht="28.5" customHeight="1" x14ac:dyDescent="0.2">
      <c r="B12" s="627" t="s">
        <v>343</v>
      </c>
      <c r="C12" s="627"/>
      <c r="D12" s="31" t="s">
        <v>317</v>
      </c>
      <c r="E12" s="31">
        <v>3.01</v>
      </c>
      <c r="F12" s="31" t="s">
        <v>317</v>
      </c>
      <c r="G12" s="31" t="s">
        <v>317</v>
      </c>
      <c r="H12" s="31" t="s">
        <v>317</v>
      </c>
      <c r="I12" s="13"/>
      <c r="J12" s="13"/>
    </row>
    <row r="13" spans="2:10" ht="22.5" customHeight="1" x14ac:dyDescent="0.2">
      <c r="B13" s="627" t="s">
        <v>246</v>
      </c>
      <c r="C13" s="627"/>
      <c r="D13" s="31" t="s">
        <v>369</v>
      </c>
      <c r="E13" s="31" t="s">
        <v>369</v>
      </c>
      <c r="F13" s="31">
        <v>2.57</v>
      </c>
      <c r="G13" s="31">
        <v>3.17</v>
      </c>
      <c r="H13" s="31">
        <v>3.0950000000000002</v>
      </c>
      <c r="I13" s="13"/>
      <c r="J13" s="13"/>
    </row>
    <row r="14" spans="2:10" ht="22.5" customHeight="1" x14ac:dyDescent="0.2">
      <c r="B14" s="627" t="s">
        <v>247</v>
      </c>
      <c r="C14" s="627"/>
      <c r="D14" s="31">
        <v>3.13</v>
      </c>
      <c r="E14" s="31">
        <v>3.01</v>
      </c>
      <c r="F14" s="31">
        <v>3.16</v>
      </c>
      <c r="G14" s="31">
        <v>3.25</v>
      </c>
      <c r="H14" s="31">
        <v>3.1749999999999998</v>
      </c>
      <c r="I14" s="13"/>
      <c r="J14" s="13"/>
    </row>
    <row r="15" spans="2:10" ht="22.5" customHeight="1" x14ac:dyDescent="0.2">
      <c r="B15" s="627" t="s">
        <v>336</v>
      </c>
      <c r="C15" s="627"/>
      <c r="D15" s="31" t="s">
        <v>317</v>
      </c>
      <c r="E15" s="31">
        <v>3.11</v>
      </c>
      <c r="F15" s="31">
        <v>3.16</v>
      </c>
      <c r="G15" s="31">
        <v>3.19</v>
      </c>
      <c r="H15" s="31">
        <v>3.11</v>
      </c>
      <c r="I15" s="13"/>
      <c r="J15" s="13"/>
    </row>
    <row r="16" spans="2:10" ht="22.5" customHeight="1" x14ac:dyDescent="0.2">
      <c r="B16" s="627" t="s">
        <v>337</v>
      </c>
      <c r="C16" s="627"/>
      <c r="D16" s="31" t="s">
        <v>317</v>
      </c>
      <c r="E16" s="31">
        <v>3.11</v>
      </c>
      <c r="F16" s="31">
        <v>2.99</v>
      </c>
      <c r="G16" s="31">
        <v>2.99</v>
      </c>
      <c r="H16" s="31">
        <v>3.04</v>
      </c>
      <c r="I16" s="13"/>
      <c r="J16" s="13"/>
    </row>
    <row r="17" spans="2:10" ht="22.5" customHeight="1" x14ac:dyDescent="0.2">
      <c r="B17" s="627" t="s">
        <v>250</v>
      </c>
      <c r="C17" s="627"/>
      <c r="D17" s="502">
        <v>2.89</v>
      </c>
      <c r="E17" s="31">
        <v>2.88</v>
      </c>
      <c r="F17" s="31">
        <v>2.99</v>
      </c>
      <c r="G17" s="31">
        <v>3.19</v>
      </c>
      <c r="H17" s="31">
        <v>3.0550000000000002</v>
      </c>
      <c r="I17" s="13"/>
      <c r="J17" s="13"/>
    </row>
    <row r="18" spans="2:10" ht="22.5" customHeight="1" x14ac:dyDescent="0.2">
      <c r="B18" s="627" t="s">
        <v>350</v>
      </c>
      <c r="C18" s="627"/>
      <c r="D18" s="31">
        <v>3.22</v>
      </c>
      <c r="E18" s="31">
        <v>3.36</v>
      </c>
      <c r="F18" s="31">
        <v>3.13</v>
      </c>
      <c r="G18" s="31">
        <v>3.22</v>
      </c>
      <c r="H18" s="31">
        <v>3.0750000000000002</v>
      </c>
      <c r="I18" s="13"/>
      <c r="J18" s="13"/>
    </row>
    <row r="19" spans="2:10" ht="22.5" customHeight="1" x14ac:dyDescent="0.2">
      <c r="B19" s="627" t="s">
        <v>252</v>
      </c>
      <c r="C19" s="627"/>
      <c r="D19" s="31">
        <v>3.22</v>
      </c>
      <c r="E19" s="31">
        <v>3.26</v>
      </c>
      <c r="F19" s="31">
        <v>3.3</v>
      </c>
      <c r="G19" s="31">
        <v>3.26</v>
      </c>
      <c r="H19" s="31">
        <v>3.36</v>
      </c>
      <c r="I19" s="13"/>
      <c r="J19" s="13"/>
    </row>
    <row r="20" spans="2:10" ht="28.5" customHeight="1" x14ac:dyDescent="0.2">
      <c r="B20" s="627" t="s">
        <v>253</v>
      </c>
      <c r="C20" s="627"/>
      <c r="D20" s="31">
        <v>3.12</v>
      </c>
      <c r="E20" s="31">
        <v>3.1</v>
      </c>
      <c r="F20" s="31">
        <v>3.07</v>
      </c>
      <c r="G20" s="31">
        <v>3.28</v>
      </c>
      <c r="H20" s="31">
        <v>3.26</v>
      </c>
      <c r="I20" s="13"/>
      <c r="J20" s="13"/>
    </row>
    <row r="21" spans="2:10" ht="22.5" customHeight="1" x14ac:dyDescent="0.2">
      <c r="B21" s="627" t="s">
        <v>254</v>
      </c>
      <c r="C21" s="627"/>
      <c r="D21" s="31">
        <v>3.11</v>
      </c>
      <c r="E21" s="31">
        <v>3.15</v>
      </c>
      <c r="F21" s="31">
        <v>3.08</v>
      </c>
      <c r="G21" s="31">
        <v>3.22</v>
      </c>
      <c r="H21" s="31">
        <v>3.1949999999999998</v>
      </c>
      <c r="I21" s="13"/>
      <c r="J21" s="13"/>
    </row>
    <row r="22" spans="2:10" ht="42.75" customHeight="1" x14ac:dyDescent="0.2">
      <c r="B22" s="627" t="s">
        <v>267</v>
      </c>
      <c r="C22" s="627"/>
      <c r="D22" s="31">
        <v>3.08</v>
      </c>
      <c r="E22" s="502">
        <v>2.97</v>
      </c>
      <c r="F22" s="31" t="s">
        <v>317</v>
      </c>
      <c r="G22" s="31">
        <v>3.62</v>
      </c>
      <c r="H22" s="31">
        <v>3.32</v>
      </c>
      <c r="I22" s="13"/>
      <c r="J22" s="13"/>
    </row>
    <row r="23" spans="2:10" ht="28.5" customHeight="1" x14ac:dyDescent="0.2">
      <c r="B23" s="627" t="s">
        <v>298</v>
      </c>
      <c r="C23" s="627"/>
      <c r="D23" s="31">
        <v>3</v>
      </c>
      <c r="E23" s="31">
        <v>2.91</v>
      </c>
      <c r="F23" s="31">
        <v>3.4</v>
      </c>
      <c r="G23" s="31">
        <v>3.12</v>
      </c>
      <c r="H23" s="31">
        <v>3.89</v>
      </c>
      <c r="I23" s="13"/>
      <c r="J23" s="13"/>
    </row>
    <row r="24" spans="2:10" ht="28.5" customHeight="1" x14ac:dyDescent="0.2">
      <c r="B24" s="627" t="s">
        <v>269</v>
      </c>
      <c r="C24" s="627"/>
      <c r="D24" s="31">
        <v>3.25</v>
      </c>
      <c r="E24" s="31">
        <v>3.29</v>
      </c>
      <c r="F24" s="31">
        <v>3.63</v>
      </c>
      <c r="G24" s="31">
        <v>3.64</v>
      </c>
      <c r="H24" s="31">
        <v>3.54</v>
      </c>
      <c r="I24" s="13"/>
      <c r="J24" s="13"/>
    </row>
    <row r="25" spans="2:10" ht="28.5" customHeight="1" x14ac:dyDescent="0.2">
      <c r="B25" s="627" t="s">
        <v>270</v>
      </c>
      <c r="C25" s="627"/>
      <c r="D25" s="31">
        <v>3.02</v>
      </c>
      <c r="E25" s="31">
        <v>3.32</v>
      </c>
      <c r="F25" s="31">
        <v>2.77</v>
      </c>
      <c r="G25" s="31">
        <v>3.09</v>
      </c>
      <c r="H25" s="31" t="s">
        <v>317</v>
      </c>
      <c r="I25" s="13"/>
      <c r="J25" s="13"/>
    </row>
    <row r="26" spans="2:10" ht="28.5" customHeight="1" x14ac:dyDescent="0.2">
      <c r="B26" s="627" t="s">
        <v>283</v>
      </c>
      <c r="C26" s="627"/>
      <c r="D26" s="502">
        <v>2.95</v>
      </c>
      <c r="E26" s="31">
        <v>3.12</v>
      </c>
      <c r="F26" s="31" t="s">
        <v>317</v>
      </c>
      <c r="G26" s="502">
        <v>2.52</v>
      </c>
      <c r="H26" s="515">
        <v>3.09</v>
      </c>
      <c r="I26" s="13"/>
      <c r="J26" s="13"/>
    </row>
    <row r="27" spans="2:10" ht="22.5" customHeight="1" x14ac:dyDescent="0.2">
      <c r="B27" s="627" t="s">
        <v>271</v>
      </c>
      <c r="C27" s="627"/>
      <c r="D27" s="31">
        <v>3.43</v>
      </c>
      <c r="E27" s="31">
        <v>3.19</v>
      </c>
      <c r="F27" s="31" t="s">
        <v>317</v>
      </c>
      <c r="G27" s="31" t="s">
        <v>317</v>
      </c>
      <c r="H27" s="502">
        <v>1.7549999999999999</v>
      </c>
      <c r="I27" s="13"/>
      <c r="J27" s="13"/>
    </row>
    <row r="28" spans="2:10" ht="42.75" customHeight="1" x14ac:dyDescent="0.2">
      <c r="B28" s="627" t="s">
        <v>272</v>
      </c>
      <c r="C28" s="627"/>
      <c r="D28" s="31">
        <v>3.05</v>
      </c>
      <c r="E28" s="31">
        <v>2.84</v>
      </c>
      <c r="F28" s="31" t="s">
        <v>317</v>
      </c>
      <c r="G28" s="31" t="s">
        <v>317</v>
      </c>
      <c r="H28" s="502">
        <v>1.52</v>
      </c>
      <c r="I28" s="13"/>
      <c r="J28" s="13"/>
    </row>
    <row r="29" spans="2:10" ht="47.25" customHeight="1" x14ac:dyDescent="0.2">
      <c r="B29" s="627" t="s">
        <v>370</v>
      </c>
      <c r="C29" s="627"/>
      <c r="D29" s="31" t="s">
        <v>237</v>
      </c>
      <c r="E29" s="31" t="s">
        <v>237</v>
      </c>
      <c r="F29" s="31" t="s">
        <v>237</v>
      </c>
      <c r="G29" s="31" t="s">
        <v>371</v>
      </c>
      <c r="H29" s="31" t="s">
        <v>372</v>
      </c>
      <c r="I29" s="13"/>
      <c r="J29" s="13"/>
    </row>
    <row r="30" spans="2:10" ht="57" customHeight="1" x14ac:dyDescent="0.2">
      <c r="B30" s="627" t="s">
        <v>373</v>
      </c>
      <c r="C30" s="627"/>
      <c r="D30" s="31">
        <v>13</v>
      </c>
      <c r="E30" s="31">
        <v>14</v>
      </c>
      <c r="F30" s="31">
        <v>9</v>
      </c>
      <c r="G30" s="31">
        <v>13</v>
      </c>
      <c r="H30" s="31">
        <v>14</v>
      </c>
      <c r="I30" s="13"/>
      <c r="J30" s="13"/>
    </row>
    <row r="31" spans="2:10" ht="22.5" customHeight="1" x14ac:dyDescent="0.2">
      <c r="B31" s="781" t="s">
        <v>274</v>
      </c>
      <c r="C31" s="781"/>
      <c r="D31" s="36">
        <v>15</v>
      </c>
      <c r="E31" s="36">
        <v>18</v>
      </c>
      <c r="F31" s="36">
        <v>13</v>
      </c>
      <c r="G31" s="36">
        <v>15</v>
      </c>
      <c r="H31" s="36">
        <v>16</v>
      </c>
      <c r="I31" s="13"/>
      <c r="J31" s="13"/>
    </row>
    <row r="32" spans="2:10" ht="22.5" customHeight="1" x14ac:dyDescent="0.2">
      <c r="B32" s="516" t="s">
        <v>231</v>
      </c>
      <c r="C32" s="516" t="s">
        <v>374</v>
      </c>
      <c r="D32" s="36">
        <v>3</v>
      </c>
      <c r="E32" s="36">
        <v>3</v>
      </c>
      <c r="F32" s="36">
        <v>3</v>
      </c>
      <c r="G32" s="36">
        <v>3</v>
      </c>
      <c r="H32" s="36">
        <v>3</v>
      </c>
      <c r="I32" s="13"/>
      <c r="J32" s="13"/>
    </row>
    <row r="33" spans="2:14" ht="22.5" customHeight="1" x14ac:dyDescent="0.2">
      <c r="B33" s="782" t="s">
        <v>232</v>
      </c>
      <c r="C33" s="782"/>
      <c r="D33" s="38">
        <v>0.86670000000000003</v>
      </c>
      <c r="E33" s="38">
        <v>0.77780000000000005</v>
      </c>
      <c r="F33" s="38">
        <v>0.69230000000000003</v>
      </c>
      <c r="G33" s="38">
        <v>0.86670000000000003</v>
      </c>
      <c r="H33" s="38">
        <v>0.875</v>
      </c>
      <c r="I33" s="13"/>
      <c r="J33" s="13"/>
    </row>
    <row r="34" spans="2:14" ht="22.5" customHeight="1" x14ac:dyDescent="0.2">
      <c r="B34" s="14"/>
      <c r="C34" s="13"/>
      <c r="D34" s="13"/>
      <c r="E34" s="13"/>
      <c r="F34" s="13"/>
      <c r="G34" s="13"/>
      <c r="H34" s="13"/>
      <c r="I34" s="13"/>
      <c r="J34" s="13"/>
    </row>
    <row r="35" spans="2:14" ht="22.5" customHeight="1" x14ac:dyDescent="0.2">
      <c r="B35" s="594" t="s">
        <v>233</v>
      </c>
      <c r="C35" s="595"/>
      <c r="D35" s="595"/>
      <c r="E35" s="596"/>
      <c r="F35" s="13"/>
      <c r="G35" s="13"/>
      <c r="H35" s="13"/>
      <c r="I35" s="13"/>
      <c r="J35" s="13"/>
    </row>
    <row r="36" spans="2:14" ht="22.5" customHeight="1" x14ac:dyDescent="0.2">
      <c r="B36" s="14"/>
      <c r="C36" s="13"/>
      <c r="D36" s="13"/>
      <c r="E36" s="13"/>
      <c r="F36" s="13"/>
      <c r="G36" s="13"/>
      <c r="H36" s="13"/>
      <c r="I36" s="13"/>
      <c r="J36" s="13"/>
    </row>
    <row r="37" spans="2:14" ht="22.5" customHeight="1" x14ac:dyDescent="0.2">
      <c r="B37" s="14"/>
      <c r="C37" s="13"/>
      <c r="D37" s="13"/>
      <c r="E37" s="13"/>
      <c r="F37" s="13"/>
      <c r="G37" s="13"/>
      <c r="H37" s="13"/>
      <c r="I37" s="13"/>
      <c r="J37" s="13"/>
    </row>
    <row r="38" spans="2:14" ht="22.5" customHeight="1" x14ac:dyDescent="0.2">
      <c r="B38" s="14"/>
      <c r="C38" s="13"/>
      <c r="D38" s="13"/>
      <c r="E38" s="13"/>
      <c r="F38" s="13"/>
      <c r="G38" s="13"/>
      <c r="H38" s="13"/>
      <c r="I38" s="13"/>
      <c r="J38" s="13"/>
      <c r="K38" s="594" t="s">
        <v>234</v>
      </c>
      <c r="L38" s="595"/>
      <c r="M38" s="595"/>
      <c r="N38" s="596"/>
    </row>
    <row r="39" spans="2:14" ht="22.5" customHeight="1" x14ac:dyDescent="0.2">
      <c r="B39" s="14"/>
      <c r="C39" s="13"/>
      <c r="D39" s="13"/>
      <c r="E39" s="13"/>
      <c r="F39" s="13"/>
      <c r="G39" s="13"/>
      <c r="H39" s="13"/>
      <c r="I39" s="13"/>
      <c r="J39" s="13"/>
      <c r="K39" s="9"/>
      <c r="L39" s="9"/>
      <c r="M39" s="9"/>
      <c r="N39" s="9"/>
    </row>
    <row r="40" spans="2:14" ht="22.5" customHeight="1" x14ac:dyDescent="0.2">
      <c r="B40" s="14"/>
      <c r="C40" s="13"/>
      <c r="D40" s="13"/>
      <c r="E40" s="13"/>
      <c r="F40" s="13"/>
      <c r="G40" s="13"/>
      <c r="H40" s="13"/>
      <c r="I40" s="13"/>
      <c r="J40" s="13"/>
      <c r="K40" s="634" t="s">
        <v>172</v>
      </c>
      <c r="L40" s="580"/>
      <c r="M40" s="580"/>
      <c r="N40" s="581"/>
    </row>
    <row r="41" spans="2:14" ht="22.5" customHeight="1" x14ac:dyDescent="0.2">
      <c r="B41" s="14"/>
      <c r="C41" s="13"/>
      <c r="D41" s="13"/>
      <c r="E41" s="13"/>
      <c r="F41" s="13"/>
      <c r="G41" s="13"/>
      <c r="H41" s="13"/>
      <c r="I41" s="13"/>
      <c r="J41" s="13"/>
      <c r="K41" s="582"/>
      <c r="L41" s="583"/>
      <c r="M41" s="583"/>
      <c r="N41" s="584"/>
    </row>
    <row r="42" spans="2:14" ht="22.5" customHeight="1" x14ac:dyDescent="0.2">
      <c r="B42" s="14"/>
      <c r="C42" s="13"/>
      <c r="D42" s="13"/>
      <c r="E42" s="13"/>
      <c r="F42" s="13"/>
      <c r="G42" s="13"/>
      <c r="H42" s="13"/>
      <c r="I42" s="13"/>
      <c r="J42" s="13"/>
      <c r="K42" s="582"/>
      <c r="L42" s="583"/>
      <c r="M42" s="583"/>
      <c r="N42" s="584"/>
    </row>
    <row r="43" spans="2:14" ht="22.5" customHeight="1" x14ac:dyDescent="0.2">
      <c r="B43" s="14"/>
      <c r="C43" s="13"/>
      <c r="D43" s="13"/>
      <c r="E43" s="13"/>
      <c r="F43" s="13"/>
      <c r="G43" s="13"/>
      <c r="H43" s="13"/>
      <c r="I43" s="13"/>
      <c r="J43" s="13"/>
      <c r="K43" s="582"/>
      <c r="L43" s="583"/>
      <c r="M43" s="583"/>
      <c r="N43" s="584"/>
    </row>
    <row r="44" spans="2:14" ht="22.5" customHeight="1" x14ac:dyDescent="0.2">
      <c r="B44" s="14"/>
      <c r="C44" s="13"/>
      <c r="D44" s="13"/>
      <c r="E44" s="13"/>
      <c r="F44" s="13"/>
      <c r="G44" s="13"/>
      <c r="H44" s="13"/>
      <c r="I44" s="13"/>
      <c r="J44" s="13"/>
      <c r="K44" s="582"/>
      <c r="L44" s="583"/>
      <c r="M44" s="583"/>
      <c r="N44" s="584"/>
    </row>
    <row r="45" spans="2:14" ht="22.5" customHeight="1" x14ac:dyDescent="0.2">
      <c r="B45" s="14"/>
      <c r="C45" s="13"/>
      <c r="D45" s="13"/>
      <c r="E45" s="13"/>
      <c r="F45" s="13"/>
      <c r="G45" s="13"/>
      <c r="H45" s="13"/>
      <c r="I45" s="13"/>
      <c r="J45" s="13"/>
      <c r="K45" s="582"/>
      <c r="L45" s="583"/>
      <c r="M45" s="583"/>
      <c r="N45" s="584"/>
    </row>
    <row r="46" spans="2:14" ht="22.5" customHeight="1" x14ac:dyDescent="0.2">
      <c r="B46" s="14"/>
      <c r="C46" s="13"/>
      <c r="D46" s="13"/>
      <c r="E46" s="13"/>
      <c r="F46" s="13"/>
      <c r="G46" s="13"/>
      <c r="H46" s="13"/>
      <c r="I46" s="13"/>
      <c r="J46" s="13"/>
      <c r="K46" s="582"/>
      <c r="L46" s="583"/>
      <c r="M46" s="583"/>
      <c r="N46" s="584"/>
    </row>
    <row r="47" spans="2:14" ht="22.5" customHeight="1" x14ac:dyDescent="0.2">
      <c r="B47" s="14"/>
      <c r="C47" s="13"/>
      <c r="D47" s="13"/>
      <c r="E47" s="13"/>
      <c r="F47" s="13"/>
      <c r="G47" s="13"/>
      <c r="H47" s="13"/>
      <c r="I47" s="13"/>
      <c r="J47" s="13"/>
      <c r="K47" s="582"/>
      <c r="L47" s="583"/>
      <c r="M47" s="583"/>
      <c r="N47" s="584"/>
    </row>
    <row r="48" spans="2:14" ht="22.5" customHeight="1" x14ac:dyDescent="0.2">
      <c r="B48" s="14"/>
      <c r="C48" s="13"/>
      <c r="D48" s="13"/>
      <c r="E48" s="13"/>
      <c r="F48" s="13"/>
      <c r="G48" s="13"/>
      <c r="H48" s="13"/>
      <c r="I48" s="13"/>
      <c r="J48" s="13"/>
      <c r="K48" s="585"/>
      <c r="L48" s="586"/>
      <c r="M48" s="586"/>
      <c r="N48" s="587"/>
    </row>
    <row r="53" spans="2:5" ht="22.5" customHeight="1" x14ac:dyDescent="0.2">
      <c r="B53" s="776" t="s">
        <v>172</v>
      </c>
      <c r="C53" s="777"/>
      <c r="D53" s="777"/>
      <c r="E53" s="778"/>
    </row>
    <row r="65" spans="8:10" ht="19.5" customHeight="1" x14ac:dyDescent="0.2">
      <c r="H65" s="588" t="s">
        <v>172</v>
      </c>
      <c r="I65" s="589"/>
      <c r="J65" s="589"/>
    </row>
  </sheetData>
  <sheetProtection sheet="1" formatCells="0" formatColumns="0" formatRows="0" insertColumns="0" insertRows="0" insertHyperlinks="0" deleteColumns="0" deleteRows="0" pivotTables="0"/>
  <mergeCells count="43">
    <mergeCell ref="B33:C33"/>
    <mergeCell ref="B35:E35"/>
    <mergeCell ref="B26:C26"/>
    <mergeCell ref="B27:C27"/>
    <mergeCell ref="B28:C28"/>
    <mergeCell ref="B29:C29"/>
    <mergeCell ref="B30:C30"/>
    <mergeCell ref="B22:C22"/>
    <mergeCell ref="B23:C23"/>
    <mergeCell ref="B24:C24"/>
    <mergeCell ref="B25:C25"/>
    <mergeCell ref="B31:C31"/>
    <mergeCell ref="B2:D2"/>
    <mergeCell ref="E2:J2"/>
    <mergeCell ref="B4:C4"/>
    <mergeCell ref="D4:E4"/>
    <mergeCell ref="F4:G4"/>
    <mergeCell ref="H4:J4"/>
    <mergeCell ref="B7:C7"/>
    <mergeCell ref="D7:J7"/>
    <mergeCell ref="B5:C5"/>
    <mergeCell ref="D5:E5"/>
    <mergeCell ref="F5:G5"/>
    <mergeCell ref="H5:J5"/>
    <mergeCell ref="B6:C6"/>
    <mergeCell ref="D6:E6"/>
    <mergeCell ref="F6:G6"/>
    <mergeCell ref="H65:J65"/>
    <mergeCell ref="B53:E53"/>
    <mergeCell ref="K38:N38"/>
    <mergeCell ref="K40:N48"/>
    <mergeCell ref="B9:J9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</mergeCells>
  <pageMargins left="0.7" right="0.7" top="0.75" bottom="0.75" header="0" footer="0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09D75-B43A-44D7-99FD-312966191765}">
  <sheetPr>
    <tabColor theme="9" tint="-0.499984740745262"/>
    <pageSetUpPr fitToPage="1"/>
  </sheetPr>
  <dimension ref="B2:J44"/>
  <sheetViews>
    <sheetView showGridLines="0" topLeftCell="A28" workbookViewId="0">
      <selection activeCell="J39" sqref="J39"/>
    </sheetView>
  </sheetViews>
  <sheetFormatPr defaultColWidth="12.5703125" defaultRowHeight="15.75" customHeight="1" x14ac:dyDescent="0.2"/>
  <cols>
    <col min="1" max="1" width="3.42578125" customWidth="1"/>
    <col min="2" max="2" width="14.140625" customWidth="1"/>
    <col min="3" max="3" width="12.5703125" customWidth="1"/>
    <col min="4" max="4" width="17.28515625" bestFit="1" customWidth="1"/>
    <col min="5" max="9" width="12.5703125" customWidth="1"/>
    <col min="10" max="10" width="36.28515625" customWidth="1"/>
    <col min="11" max="20" width="7.5703125" customWidth="1"/>
  </cols>
  <sheetData>
    <row r="2" spans="2:10" ht="55.5" customHeight="1" x14ac:dyDescent="0.2">
      <c r="B2" s="670"/>
      <c r="C2" s="671"/>
      <c r="D2" s="672"/>
      <c r="E2" s="673" t="s">
        <v>213</v>
      </c>
      <c r="F2" s="671"/>
      <c r="G2" s="671"/>
      <c r="H2" s="671"/>
      <c r="I2" s="671"/>
      <c r="J2" s="672"/>
    </row>
    <row r="3" spans="2:10" ht="22.5" customHeight="1" x14ac:dyDescent="0.2">
      <c r="B3" s="46"/>
      <c r="C3" s="46"/>
      <c r="D3" s="47"/>
      <c r="E3" s="47"/>
      <c r="F3" s="47"/>
      <c r="G3" s="47"/>
      <c r="H3" s="47"/>
      <c r="I3" s="47"/>
    </row>
    <row r="4" spans="2:10" ht="42" customHeight="1" x14ac:dyDescent="0.2">
      <c r="B4" s="594" t="s">
        <v>214</v>
      </c>
      <c r="C4" s="596"/>
      <c r="D4" s="674" t="str">
        <f>Índex!B33</f>
        <v>PC2.05_Ind01.</v>
      </c>
      <c r="E4" s="672"/>
      <c r="F4" s="594" t="s">
        <v>215</v>
      </c>
      <c r="G4" s="596"/>
      <c r="H4" s="674" t="str">
        <f>Índex!C33</f>
        <v>Percentatge de propostes de modificació presentades a AQU que han obtingut l'avaluació favorable desglossades per curs acadèmic, per Grau i Màster.</v>
      </c>
      <c r="I4" s="671"/>
      <c r="J4" s="672"/>
    </row>
    <row r="5" spans="2:10" ht="22.5" customHeight="1" x14ac:dyDescent="0.2">
      <c r="B5" s="594" t="s">
        <v>216</v>
      </c>
      <c r="C5" s="596"/>
      <c r="D5" s="789">
        <f>Índex!F33</f>
        <v>1</v>
      </c>
      <c r="E5" s="790"/>
      <c r="F5" s="732" t="s">
        <v>217</v>
      </c>
      <c r="G5" s="596"/>
      <c r="H5" s="775" t="s">
        <v>241</v>
      </c>
      <c r="I5" s="635"/>
      <c r="J5" s="636"/>
    </row>
    <row r="6" spans="2:10" ht="22.5" customHeight="1" x14ac:dyDescent="0.2">
      <c r="B6" s="594" t="s">
        <v>219</v>
      </c>
      <c r="C6" s="596"/>
      <c r="D6" s="791" t="s">
        <v>220</v>
      </c>
      <c r="E6" s="731"/>
      <c r="F6" s="594" t="s">
        <v>242</v>
      </c>
      <c r="G6" s="596"/>
      <c r="H6" s="112" t="str">
        <f>Índex!E33</f>
        <v>Gestora de Qualitat</v>
      </c>
      <c r="I6" s="40"/>
      <c r="J6" s="19"/>
    </row>
    <row r="7" spans="2:10" ht="22.5" customHeight="1" x14ac:dyDescent="0.2">
      <c r="B7" s="594" t="s">
        <v>222</v>
      </c>
      <c r="C7" s="596"/>
      <c r="D7" s="674" t="str">
        <f>Índex!G33</f>
        <v>PC2.05. Modificació de Titulacions</v>
      </c>
      <c r="E7" s="671"/>
      <c r="F7" s="671"/>
      <c r="G7" s="671"/>
      <c r="H7" s="671"/>
      <c r="I7" s="641"/>
      <c r="J7" s="642"/>
    </row>
    <row r="8" spans="2:10" ht="7.5" customHeight="1" x14ac:dyDescent="0.2"/>
    <row r="9" spans="2:10" ht="22.5" customHeight="1" x14ac:dyDescent="0.2">
      <c r="B9" s="594" t="s">
        <v>223</v>
      </c>
      <c r="C9" s="595"/>
      <c r="D9" s="595"/>
      <c r="E9" s="595"/>
      <c r="F9" s="595"/>
      <c r="G9" s="595"/>
      <c r="H9" s="595"/>
      <c r="I9" s="595"/>
      <c r="J9" s="596"/>
    </row>
    <row r="10" spans="2:10" ht="22.5" customHeight="1" thickBot="1" x14ac:dyDescent="0.25">
      <c r="B10" s="177"/>
      <c r="C10" s="13"/>
      <c r="D10" s="13"/>
      <c r="E10" s="13"/>
      <c r="F10" s="13"/>
      <c r="G10" s="13"/>
      <c r="H10" s="13"/>
      <c r="I10" s="13"/>
      <c r="J10" s="13"/>
    </row>
    <row r="11" spans="2:10" ht="22.5" customHeight="1" thickBot="1" x14ac:dyDescent="0.25">
      <c r="B11" s="180"/>
      <c r="C11" s="180"/>
      <c r="D11" s="181" t="s">
        <v>225</v>
      </c>
      <c r="E11" s="182" t="s">
        <v>226</v>
      </c>
      <c r="F11" s="182" t="s">
        <v>227</v>
      </c>
      <c r="G11" s="182" t="s">
        <v>228</v>
      </c>
      <c r="H11" s="182" t="s">
        <v>229</v>
      </c>
      <c r="I11" s="13"/>
      <c r="J11" s="13"/>
    </row>
    <row r="12" spans="2:10" ht="22.5" customHeight="1" thickBot="1" x14ac:dyDescent="0.25">
      <c r="B12" s="787" t="s">
        <v>244</v>
      </c>
      <c r="C12" s="788"/>
      <c r="D12" s="134" t="s">
        <v>375</v>
      </c>
      <c r="E12" s="134" t="s">
        <v>375</v>
      </c>
      <c r="F12" s="134" t="s">
        <v>375</v>
      </c>
      <c r="G12" s="134" t="s">
        <v>375</v>
      </c>
      <c r="H12" s="207" t="s">
        <v>376</v>
      </c>
      <c r="I12" s="13"/>
      <c r="J12" s="13"/>
    </row>
    <row r="13" spans="2:10" ht="22.5" customHeight="1" thickBot="1" x14ac:dyDescent="0.25">
      <c r="B13" s="787" t="s">
        <v>293</v>
      </c>
      <c r="C13" s="788"/>
      <c r="D13" s="134" t="s">
        <v>375</v>
      </c>
      <c r="E13" s="183" t="s">
        <v>377</v>
      </c>
      <c r="F13" s="134" t="s">
        <v>375</v>
      </c>
      <c r="G13" s="134" t="s">
        <v>375</v>
      </c>
      <c r="H13" s="415" t="s">
        <v>378</v>
      </c>
      <c r="I13" s="13"/>
      <c r="J13" s="13"/>
    </row>
    <row r="14" spans="2:10" ht="22.5" customHeight="1" thickBot="1" x14ac:dyDescent="0.25">
      <c r="B14" s="787" t="s">
        <v>247</v>
      </c>
      <c r="C14" s="788"/>
      <c r="D14" s="134" t="s">
        <v>375</v>
      </c>
      <c r="E14" s="183" t="s">
        <v>377</v>
      </c>
      <c r="F14" s="134" t="s">
        <v>375</v>
      </c>
      <c r="G14" s="134" t="s">
        <v>375</v>
      </c>
      <c r="H14" s="170" t="s">
        <v>376</v>
      </c>
      <c r="I14" s="13"/>
      <c r="J14" s="13"/>
    </row>
    <row r="15" spans="2:10" ht="22.5" customHeight="1" thickBot="1" x14ac:dyDescent="0.25">
      <c r="B15" s="787" t="s">
        <v>250</v>
      </c>
      <c r="C15" s="788"/>
      <c r="D15" s="134" t="s">
        <v>375</v>
      </c>
      <c r="E15" s="134" t="s">
        <v>375</v>
      </c>
      <c r="F15" s="134" t="s">
        <v>375</v>
      </c>
      <c r="G15" s="134" t="s">
        <v>375</v>
      </c>
      <c r="H15" s="170" t="s">
        <v>376</v>
      </c>
      <c r="I15" s="13"/>
      <c r="J15" s="13"/>
    </row>
    <row r="16" spans="2:10" ht="27" customHeight="1" thickBot="1" x14ac:dyDescent="0.25">
      <c r="B16" s="787" t="s">
        <v>350</v>
      </c>
      <c r="C16" s="788"/>
      <c r="D16" s="134" t="s">
        <v>375</v>
      </c>
      <c r="E16" s="134" t="s">
        <v>375</v>
      </c>
      <c r="F16" s="134" t="s">
        <v>375</v>
      </c>
      <c r="G16" s="134" t="s">
        <v>375</v>
      </c>
      <c r="H16" s="415" t="s">
        <v>378</v>
      </c>
      <c r="I16" s="13"/>
      <c r="J16" s="13"/>
    </row>
    <row r="17" spans="2:10" ht="22.5" customHeight="1" thickBot="1" x14ac:dyDescent="0.25">
      <c r="B17" s="787" t="s">
        <v>252</v>
      </c>
      <c r="C17" s="788"/>
      <c r="D17" s="134" t="s">
        <v>375</v>
      </c>
      <c r="E17" s="183" t="s">
        <v>377</v>
      </c>
      <c r="F17" s="134" t="s">
        <v>375</v>
      </c>
      <c r="G17" s="134" t="s">
        <v>375</v>
      </c>
      <c r="H17" s="170" t="s">
        <v>376</v>
      </c>
      <c r="I17" s="13"/>
      <c r="J17" s="13"/>
    </row>
    <row r="18" spans="2:10" ht="27" customHeight="1" thickBot="1" x14ac:dyDescent="0.25">
      <c r="B18" s="787" t="s">
        <v>253</v>
      </c>
      <c r="C18" s="788"/>
      <c r="D18" s="134" t="s">
        <v>375</v>
      </c>
      <c r="E18" s="134" t="s">
        <v>375</v>
      </c>
      <c r="F18" s="134" t="s">
        <v>375</v>
      </c>
      <c r="G18" s="134" t="s">
        <v>375</v>
      </c>
      <c r="H18" s="170" t="s">
        <v>376</v>
      </c>
      <c r="I18" s="13"/>
      <c r="J18" s="13"/>
    </row>
    <row r="19" spans="2:10" ht="22.5" customHeight="1" thickBot="1" x14ac:dyDescent="0.25">
      <c r="B19" s="787" t="s">
        <v>254</v>
      </c>
      <c r="C19" s="788"/>
      <c r="D19" s="183" t="s">
        <v>377</v>
      </c>
      <c r="E19" s="134" t="s">
        <v>375</v>
      </c>
      <c r="F19" s="134" t="s">
        <v>375</v>
      </c>
      <c r="G19" s="134" t="s">
        <v>375</v>
      </c>
      <c r="H19" s="170" t="s">
        <v>376</v>
      </c>
      <c r="I19" s="13"/>
      <c r="J19" s="13"/>
    </row>
    <row r="20" spans="2:10" ht="40.5" customHeight="1" thickBot="1" x14ac:dyDescent="0.25">
      <c r="B20" s="787" t="s">
        <v>267</v>
      </c>
      <c r="C20" s="788"/>
      <c r="D20" s="134" t="s">
        <v>375</v>
      </c>
      <c r="E20" s="134" t="s">
        <v>375</v>
      </c>
      <c r="F20" s="134" t="s">
        <v>375</v>
      </c>
      <c r="G20" s="134" t="s">
        <v>375</v>
      </c>
      <c r="H20" s="415" t="s">
        <v>378</v>
      </c>
      <c r="I20" s="13"/>
      <c r="J20" s="13"/>
    </row>
    <row r="21" spans="2:10" ht="27" customHeight="1" thickBot="1" x14ac:dyDescent="0.25">
      <c r="B21" s="787" t="s">
        <v>298</v>
      </c>
      <c r="C21" s="788"/>
      <c r="D21" s="134" t="s">
        <v>375</v>
      </c>
      <c r="E21" s="134" t="s">
        <v>375</v>
      </c>
      <c r="F21" s="134" t="s">
        <v>375</v>
      </c>
      <c r="G21" s="134" t="s">
        <v>375</v>
      </c>
      <c r="H21" s="415" t="s">
        <v>378</v>
      </c>
      <c r="I21" s="13"/>
      <c r="J21" s="13"/>
    </row>
    <row r="22" spans="2:10" ht="27" customHeight="1" thickBot="1" x14ac:dyDescent="0.25">
      <c r="B22" s="787" t="s">
        <v>269</v>
      </c>
      <c r="C22" s="788"/>
      <c r="D22" s="134" t="s">
        <v>375</v>
      </c>
      <c r="E22" s="134" t="s">
        <v>375</v>
      </c>
      <c r="F22" s="134" t="s">
        <v>375</v>
      </c>
      <c r="G22" s="134" t="s">
        <v>375</v>
      </c>
      <c r="H22" s="170" t="s">
        <v>376</v>
      </c>
      <c r="I22" s="13"/>
      <c r="J22" s="13"/>
    </row>
    <row r="23" spans="2:10" ht="27" customHeight="1" thickBot="1" x14ac:dyDescent="0.25">
      <c r="B23" s="787" t="s">
        <v>270</v>
      </c>
      <c r="C23" s="788"/>
      <c r="D23" s="183" t="s">
        <v>377</v>
      </c>
      <c r="E23" s="134" t="s">
        <v>375</v>
      </c>
      <c r="F23" s="134" t="s">
        <v>375</v>
      </c>
      <c r="G23" s="183" t="s">
        <v>377</v>
      </c>
      <c r="H23" s="415" t="s">
        <v>378</v>
      </c>
      <c r="I23" s="13"/>
      <c r="J23" s="13"/>
    </row>
    <row r="24" spans="2:10" ht="40.5" customHeight="1" thickBot="1" x14ac:dyDescent="0.25">
      <c r="B24" s="787" t="s">
        <v>283</v>
      </c>
      <c r="C24" s="788"/>
      <c r="D24" s="134" t="s">
        <v>375</v>
      </c>
      <c r="E24" s="134" t="s">
        <v>375</v>
      </c>
      <c r="F24" s="183" t="s">
        <v>377</v>
      </c>
      <c r="G24" s="134" t="s">
        <v>375</v>
      </c>
      <c r="H24" s="170" t="s">
        <v>376</v>
      </c>
      <c r="I24" s="13"/>
      <c r="J24" s="13"/>
    </row>
    <row r="25" spans="2:10" ht="27" customHeight="1" thickBot="1" x14ac:dyDescent="0.25">
      <c r="B25" s="787" t="s">
        <v>271</v>
      </c>
      <c r="C25" s="788"/>
      <c r="D25" s="134" t="s">
        <v>375</v>
      </c>
      <c r="E25" s="134" t="s">
        <v>375</v>
      </c>
      <c r="F25" s="134" t="s">
        <v>375</v>
      </c>
      <c r="G25" s="134" t="s">
        <v>375</v>
      </c>
      <c r="H25" s="170" t="s">
        <v>376</v>
      </c>
      <c r="I25" s="13"/>
      <c r="J25" s="13"/>
    </row>
    <row r="26" spans="2:10" ht="40.5" customHeight="1" thickBot="1" x14ac:dyDescent="0.25">
      <c r="B26" s="787" t="s">
        <v>272</v>
      </c>
      <c r="C26" s="788"/>
      <c r="D26" s="134" t="s">
        <v>375</v>
      </c>
      <c r="E26" s="134" t="s">
        <v>375</v>
      </c>
      <c r="F26" s="134" t="s">
        <v>375</v>
      </c>
      <c r="G26" s="134" t="s">
        <v>375</v>
      </c>
      <c r="H26" s="415" t="s">
        <v>378</v>
      </c>
      <c r="I26" s="13"/>
      <c r="J26" s="13"/>
    </row>
    <row r="27" spans="2:10" ht="27" customHeight="1" thickBot="1" x14ac:dyDescent="0.25">
      <c r="B27" s="787" t="s">
        <v>379</v>
      </c>
      <c r="C27" s="792"/>
      <c r="D27" s="134">
        <v>2</v>
      </c>
      <c r="E27" s="134">
        <v>3</v>
      </c>
      <c r="F27" s="134">
        <v>1</v>
      </c>
      <c r="G27" s="134">
        <v>1</v>
      </c>
      <c r="H27" s="170">
        <v>6</v>
      </c>
      <c r="J27" s="70" t="s">
        <v>234</v>
      </c>
    </row>
    <row r="28" spans="2:10" ht="40.5" customHeight="1" thickBot="1" x14ac:dyDescent="0.25">
      <c r="B28" s="783" t="s">
        <v>380</v>
      </c>
      <c r="C28" s="784"/>
      <c r="D28" s="184">
        <v>2</v>
      </c>
      <c r="E28" s="184">
        <v>3</v>
      </c>
      <c r="F28" s="184">
        <v>1</v>
      </c>
      <c r="G28" s="184">
        <v>1</v>
      </c>
      <c r="H28" s="170">
        <v>6</v>
      </c>
      <c r="J28" s="9"/>
    </row>
    <row r="29" spans="2:10" ht="22.5" customHeight="1" thickBot="1" x14ac:dyDescent="0.25">
      <c r="B29" s="785" t="s">
        <v>232</v>
      </c>
      <c r="C29" s="786"/>
      <c r="D29" s="518">
        <v>1</v>
      </c>
      <c r="E29" s="518">
        <v>1</v>
      </c>
      <c r="F29" s="518">
        <v>1</v>
      </c>
      <c r="G29" s="518">
        <v>1</v>
      </c>
      <c r="H29" s="543">
        <v>1</v>
      </c>
      <c r="J29" s="153" t="s">
        <v>172</v>
      </c>
    </row>
    <row r="30" spans="2:10" ht="22.5" customHeight="1" thickBot="1" x14ac:dyDescent="0.25">
      <c r="B30" s="186" t="s">
        <v>329</v>
      </c>
      <c r="C30" s="544"/>
      <c r="D30" s="545">
        <v>1</v>
      </c>
      <c r="E30" s="546">
        <v>1</v>
      </c>
      <c r="F30" s="546">
        <v>1</v>
      </c>
      <c r="G30" s="546">
        <v>1</v>
      </c>
      <c r="H30" s="547">
        <v>1</v>
      </c>
      <c r="J30" s="185"/>
    </row>
    <row r="31" spans="2:10" ht="22.5" customHeight="1" x14ac:dyDescent="0.2">
      <c r="B31" s="177"/>
      <c r="C31" s="13"/>
      <c r="D31" s="13"/>
      <c r="E31" s="13"/>
      <c r="F31" s="13"/>
      <c r="G31" s="13"/>
      <c r="H31" s="13"/>
      <c r="J31" s="148"/>
    </row>
    <row r="32" spans="2:10" ht="22.5" customHeight="1" x14ac:dyDescent="0.2">
      <c r="B32" s="594" t="s">
        <v>233</v>
      </c>
      <c r="C32" s="595"/>
      <c r="D32" s="595"/>
      <c r="E32" s="596"/>
      <c r="F32" s="8"/>
      <c r="J32" s="148"/>
    </row>
    <row r="44" spans="8:10" ht="19.5" customHeight="1" x14ac:dyDescent="0.2">
      <c r="H44" s="588" t="s">
        <v>172</v>
      </c>
      <c r="I44" s="589"/>
      <c r="J44" s="589"/>
    </row>
  </sheetData>
  <sheetProtection sheet="1" formatCells="0" formatColumns="0" formatRows="0" insertColumns="0" insertRows="0" insertHyperlinks="0" deleteColumns="0" deleteRows="0" pivotTables="0"/>
  <mergeCells count="36">
    <mergeCell ref="B7:C7"/>
    <mergeCell ref="D7:J7"/>
    <mergeCell ref="H44:J44"/>
    <mergeCell ref="B9:J9"/>
    <mergeCell ref="B13:C13"/>
    <mergeCell ref="B14:C14"/>
    <mergeCell ref="B15:C15"/>
    <mergeCell ref="B32:E32"/>
    <mergeCell ref="B12:C12"/>
    <mergeCell ref="B16:C16"/>
    <mergeCell ref="B17:C17"/>
    <mergeCell ref="B18:C18"/>
    <mergeCell ref="B19:C19"/>
    <mergeCell ref="B20:C20"/>
    <mergeCell ref="B26:C26"/>
    <mergeCell ref="B27:C27"/>
    <mergeCell ref="B5:C5"/>
    <mergeCell ref="D5:E5"/>
    <mergeCell ref="F5:G5"/>
    <mergeCell ref="H5:J5"/>
    <mergeCell ref="B6:C6"/>
    <mergeCell ref="D6:E6"/>
    <mergeCell ref="F6:G6"/>
    <mergeCell ref="B2:D2"/>
    <mergeCell ref="E2:J2"/>
    <mergeCell ref="B4:C4"/>
    <mergeCell ref="D4:E4"/>
    <mergeCell ref="F4:G4"/>
    <mergeCell ref="H4:J4"/>
    <mergeCell ref="B28:C28"/>
    <mergeCell ref="B29:C29"/>
    <mergeCell ref="B21:C21"/>
    <mergeCell ref="B22:C22"/>
    <mergeCell ref="B23:C23"/>
    <mergeCell ref="B24:C24"/>
    <mergeCell ref="B25:C25"/>
  </mergeCells>
  <pageMargins left="0.7" right="0.7" top="0.75" bottom="0.75" header="0" footer="0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0BAA6-AF25-44F8-9DB3-5B3165CA8BF1}">
  <sheetPr>
    <tabColor theme="9" tint="-0.499984740745262"/>
    <pageSetUpPr fitToPage="1"/>
  </sheetPr>
  <dimension ref="B2:K46"/>
  <sheetViews>
    <sheetView showGridLines="0" topLeftCell="A26" workbookViewId="0">
      <selection activeCell="J35" sqref="J35"/>
    </sheetView>
  </sheetViews>
  <sheetFormatPr defaultColWidth="12.5703125" defaultRowHeight="15.75" customHeight="1" x14ac:dyDescent="0.2"/>
  <cols>
    <col min="1" max="1" width="3.42578125" customWidth="1"/>
    <col min="2" max="2" width="14.140625" customWidth="1"/>
    <col min="3" max="3" width="12.5703125" customWidth="1"/>
    <col min="4" max="4" width="17.28515625" bestFit="1" customWidth="1"/>
    <col min="5" max="9" width="12.5703125" customWidth="1"/>
    <col min="10" max="10" width="14.42578125" bestFit="1" customWidth="1"/>
    <col min="11" max="11" width="8.85546875" customWidth="1"/>
    <col min="12" max="14" width="7.5703125" customWidth="1"/>
  </cols>
  <sheetData>
    <row r="2" spans="2:10" ht="55.5" customHeight="1" x14ac:dyDescent="0.2">
      <c r="B2" s="670"/>
      <c r="C2" s="671"/>
      <c r="D2" s="672"/>
      <c r="E2" s="673" t="s">
        <v>213</v>
      </c>
      <c r="F2" s="671"/>
      <c r="G2" s="671"/>
      <c r="H2" s="671"/>
      <c r="I2" s="671"/>
      <c r="J2" s="672"/>
    </row>
    <row r="3" spans="2:10" ht="22.5" customHeight="1" x14ac:dyDescent="0.2">
      <c r="B3" s="46"/>
      <c r="C3" s="46"/>
      <c r="D3" s="47"/>
      <c r="E3" s="47"/>
      <c r="F3" s="47"/>
      <c r="G3" s="47"/>
      <c r="H3" s="47"/>
      <c r="I3" s="47"/>
    </row>
    <row r="4" spans="2:10" ht="42" customHeight="1" x14ac:dyDescent="0.2">
      <c r="B4" s="594" t="s">
        <v>214</v>
      </c>
      <c r="C4" s="596"/>
      <c r="D4" s="674" t="str">
        <f>Índex!B34</f>
        <v xml:space="preserve">PC3.01_Ind01. </v>
      </c>
      <c r="E4" s="672"/>
      <c r="F4" s="594" t="s">
        <v>215</v>
      </c>
      <c r="G4" s="596"/>
      <c r="H4" s="674" t="str">
        <f>Índex!C34</f>
        <v xml:space="preserve">Ràtio de sol.licituds en 1a preferència per l'oferta </v>
      </c>
      <c r="I4" s="671"/>
      <c r="J4" s="672"/>
    </row>
    <row r="5" spans="2:10" ht="22.5" customHeight="1" x14ac:dyDescent="0.2">
      <c r="B5" s="594" t="s">
        <v>216</v>
      </c>
      <c r="C5" s="596"/>
      <c r="D5" s="674">
        <f>Índex!F34</f>
        <v>0.8</v>
      </c>
      <c r="E5" s="672"/>
      <c r="F5" s="732" t="s">
        <v>217</v>
      </c>
      <c r="G5" s="596"/>
      <c r="H5" s="775" t="s">
        <v>241</v>
      </c>
      <c r="I5" s="671"/>
      <c r="J5" s="636"/>
    </row>
    <row r="6" spans="2:10" ht="22.5" customHeight="1" x14ac:dyDescent="0.2">
      <c r="B6" s="594" t="s">
        <v>219</v>
      </c>
      <c r="C6" s="596"/>
      <c r="D6" s="674" t="s">
        <v>220</v>
      </c>
      <c r="E6" s="672"/>
      <c r="F6" s="594" t="s">
        <v>242</v>
      </c>
      <c r="G6" s="596"/>
      <c r="H6" s="12" t="str">
        <f>Índex!E34</f>
        <v xml:space="preserve">Gestor Acadèmic </v>
      </c>
      <c r="J6" s="108"/>
    </row>
    <row r="7" spans="2:10" ht="22.5" customHeight="1" x14ac:dyDescent="0.2">
      <c r="B7" s="594" t="s">
        <v>222</v>
      </c>
      <c r="C7" s="596"/>
      <c r="D7" s="674" t="str">
        <f>Índex!G34</f>
        <v>PC3.01. Accés a Estudis i Perfils d’Ingrés</v>
      </c>
      <c r="E7" s="671"/>
      <c r="F7" s="671"/>
      <c r="G7" s="671"/>
      <c r="H7" s="671"/>
      <c r="I7" s="671"/>
      <c r="J7" s="672"/>
    </row>
    <row r="8" spans="2:10" ht="7.5" customHeight="1" x14ac:dyDescent="0.2"/>
    <row r="9" spans="2:10" ht="22.5" customHeight="1" x14ac:dyDescent="0.2">
      <c r="B9" s="594" t="s">
        <v>223</v>
      </c>
      <c r="C9" s="595"/>
      <c r="D9" s="595"/>
      <c r="E9" s="595"/>
      <c r="F9" s="595"/>
      <c r="G9" s="595"/>
      <c r="H9" s="595"/>
      <c r="I9" s="595"/>
      <c r="J9" s="596"/>
    </row>
    <row r="10" spans="2:10" ht="22.5" customHeight="1" x14ac:dyDescent="0.2">
      <c r="B10" s="14"/>
      <c r="C10" s="13"/>
      <c r="D10" s="13"/>
      <c r="E10" s="13"/>
      <c r="F10" s="13"/>
      <c r="G10" s="13"/>
      <c r="H10" s="13"/>
      <c r="I10" s="13"/>
      <c r="J10" s="13"/>
    </row>
    <row r="11" spans="2:10" ht="22.5" customHeight="1" x14ac:dyDescent="0.2">
      <c r="B11" s="191" t="s">
        <v>381</v>
      </c>
      <c r="C11" s="191" t="s">
        <v>382</v>
      </c>
      <c r="D11" s="323" t="s">
        <v>227</v>
      </c>
      <c r="E11" s="324" t="s">
        <v>228</v>
      </c>
      <c r="F11" s="324" t="s">
        <v>229</v>
      </c>
      <c r="G11" s="187"/>
      <c r="H11" s="187"/>
      <c r="I11" s="187"/>
      <c r="J11" s="187"/>
    </row>
    <row r="12" spans="2:10" ht="22.5" customHeight="1" x14ac:dyDescent="0.2">
      <c r="B12" s="188" t="s">
        <v>383</v>
      </c>
      <c r="C12" s="190" t="s">
        <v>384</v>
      </c>
      <c r="D12" s="190" t="s">
        <v>384</v>
      </c>
      <c r="E12" s="190" t="s">
        <v>384</v>
      </c>
      <c r="F12" s="190" t="s">
        <v>384</v>
      </c>
      <c r="G12" s="193"/>
      <c r="H12" s="193"/>
      <c r="I12" s="193"/>
      <c r="J12" s="193"/>
    </row>
    <row r="13" spans="2:10" ht="22.5" customHeight="1" x14ac:dyDescent="0.2">
      <c r="B13" s="189" t="s">
        <v>385</v>
      </c>
      <c r="C13" s="190">
        <v>2.1</v>
      </c>
      <c r="D13" s="190">
        <v>2.4</v>
      </c>
      <c r="E13" s="190">
        <v>2.2000000000000002</v>
      </c>
      <c r="F13" s="190">
        <v>2.2999999999999998</v>
      </c>
      <c r="G13" s="194"/>
      <c r="H13" s="193"/>
      <c r="I13" s="194"/>
      <c r="J13" s="194"/>
    </row>
    <row r="14" spans="2:10" ht="22.5" customHeight="1" x14ac:dyDescent="0.2">
      <c r="B14" s="189" t="s">
        <v>386</v>
      </c>
      <c r="C14" s="190">
        <v>1.2</v>
      </c>
      <c r="D14" s="190">
        <v>2</v>
      </c>
      <c r="E14" s="190">
        <v>1.7</v>
      </c>
      <c r="F14" s="190">
        <v>1.4</v>
      </c>
      <c r="G14" s="194"/>
      <c r="H14" s="193"/>
      <c r="I14" s="194"/>
      <c r="J14" s="194"/>
    </row>
    <row r="15" spans="2:10" ht="22.5" customHeight="1" x14ac:dyDescent="0.2">
      <c r="B15" s="189" t="s">
        <v>387</v>
      </c>
      <c r="C15" s="190">
        <v>4</v>
      </c>
      <c r="D15" s="190">
        <v>5</v>
      </c>
      <c r="E15" s="190">
        <v>5.2</v>
      </c>
      <c r="F15" s="190">
        <v>3.6</v>
      </c>
      <c r="G15" s="194"/>
      <c r="H15" s="193"/>
      <c r="I15" s="194"/>
      <c r="J15" s="194"/>
    </row>
    <row r="16" spans="2:10" ht="22.5" customHeight="1" x14ac:dyDescent="0.2">
      <c r="B16" s="189" t="s">
        <v>388</v>
      </c>
      <c r="C16" s="190">
        <v>1</v>
      </c>
      <c r="D16" s="190">
        <v>0.9</v>
      </c>
      <c r="E16" s="190">
        <v>0.8</v>
      </c>
      <c r="F16" s="190">
        <v>0.5</v>
      </c>
      <c r="G16" s="194"/>
      <c r="H16" s="193"/>
      <c r="I16" s="194"/>
      <c r="J16" s="194"/>
    </row>
    <row r="17" spans="2:11" ht="22.5" customHeight="1" x14ac:dyDescent="0.2">
      <c r="B17" s="189" t="s">
        <v>389</v>
      </c>
      <c r="C17" s="190">
        <v>0.4</v>
      </c>
      <c r="D17" s="190">
        <v>0.5</v>
      </c>
      <c r="E17" s="190">
        <v>0.5</v>
      </c>
      <c r="F17" s="190">
        <v>0.4</v>
      </c>
      <c r="G17" s="194"/>
      <c r="H17" s="193"/>
      <c r="I17" s="194"/>
      <c r="J17" s="194"/>
      <c r="K17" s="193"/>
    </row>
    <row r="18" spans="2:11" ht="22.5" customHeight="1" x14ac:dyDescent="0.2">
      <c r="B18" s="189" t="s">
        <v>390</v>
      </c>
      <c r="C18" s="190">
        <v>1.1000000000000001</v>
      </c>
      <c r="D18" s="190">
        <v>1.1000000000000001</v>
      </c>
      <c r="E18" s="190">
        <v>1.2</v>
      </c>
      <c r="F18" s="190">
        <v>1.2</v>
      </c>
      <c r="G18" s="194"/>
      <c r="H18" s="193"/>
      <c r="I18" s="194"/>
      <c r="J18" s="194"/>
      <c r="K18" s="193"/>
    </row>
    <row r="19" spans="2:11" ht="22.5" customHeight="1" x14ac:dyDescent="0.2">
      <c r="B19" s="189" t="s">
        <v>391</v>
      </c>
      <c r="C19" s="190">
        <v>1.1000000000000001</v>
      </c>
      <c r="D19" s="190">
        <v>0.9</v>
      </c>
      <c r="E19" s="190">
        <v>1.1000000000000001</v>
      </c>
      <c r="F19" s="190">
        <v>1</v>
      </c>
      <c r="G19" s="194"/>
      <c r="H19" s="193"/>
      <c r="I19" s="194"/>
      <c r="J19" s="194"/>
      <c r="K19" s="193"/>
    </row>
    <row r="20" spans="2:11" ht="22.5" customHeight="1" x14ac:dyDescent="0.2">
      <c r="B20" s="189" t="s">
        <v>392</v>
      </c>
      <c r="C20" s="190">
        <v>1.9</v>
      </c>
      <c r="D20" s="190">
        <v>1.9</v>
      </c>
      <c r="E20" s="190">
        <v>2</v>
      </c>
      <c r="F20" s="190">
        <v>1.5</v>
      </c>
      <c r="G20" s="194"/>
      <c r="H20" s="193"/>
      <c r="I20" s="194"/>
      <c r="J20" s="194"/>
      <c r="K20" s="193"/>
    </row>
    <row r="21" spans="2:11" ht="22.5" customHeight="1" x14ac:dyDescent="0.2">
      <c r="B21" s="189" t="s">
        <v>393</v>
      </c>
      <c r="C21" s="190">
        <v>1</v>
      </c>
      <c r="D21" s="190">
        <v>1.2</v>
      </c>
      <c r="E21" s="190">
        <v>0.8</v>
      </c>
      <c r="F21" s="190">
        <v>1.3</v>
      </c>
      <c r="G21" s="194"/>
      <c r="H21" s="193"/>
      <c r="I21" s="194"/>
      <c r="J21" s="194"/>
      <c r="K21" s="193"/>
    </row>
    <row r="22" spans="2:11" ht="22.5" customHeight="1" x14ac:dyDescent="0.2">
      <c r="B22" s="189" t="s">
        <v>394</v>
      </c>
      <c r="C22" s="190">
        <v>1.3</v>
      </c>
      <c r="D22" s="190">
        <v>1.4</v>
      </c>
      <c r="E22" s="190">
        <v>1.3</v>
      </c>
      <c r="F22" s="190">
        <v>0.9</v>
      </c>
      <c r="G22" s="194"/>
      <c r="H22" s="594" t="s">
        <v>234</v>
      </c>
      <c r="I22" s="595"/>
      <c r="J22" s="595"/>
      <c r="K22" s="596"/>
    </row>
    <row r="23" spans="2:11" ht="22.5" customHeight="1" x14ac:dyDescent="0.2">
      <c r="B23" s="189" t="s">
        <v>395</v>
      </c>
      <c r="C23" s="190">
        <v>0.8</v>
      </c>
      <c r="D23" s="190">
        <v>1.6</v>
      </c>
      <c r="E23" s="190">
        <v>1.1000000000000001</v>
      </c>
      <c r="F23" s="190">
        <v>1.1000000000000001</v>
      </c>
      <c r="G23" s="194"/>
      <c r="H23" s="9"/>
      <c r="I23" s="9"/>
      <c r="J23" s="9"/>
      <c r="K23" s="9"/>
    </row>
    <row r="24" spans="2:11" ht="22.5" customHeight="1" x14ac:dyDescent="0.2">
      <c r="B24" s="191" t="s">
        <v>310</v>
      </c>
      <c r="C24" s="191">
        <v>0.8</v>
      </c>
      <c r="D24" s="191">
        <v>0.8</v>
      </c>
      <c r="E24" s="191">
        <v>0.8</v>
      </c>
      <c r="F24" s="191">
        <v>0.8</v>
      </c>
      <c r="G24" s="194"/>
      <c r="H24" s="579" t="s">
        <v>172</v>
      </c>
      <c r="I24" s="580"/>
      <c r="J24" s="580"/>
      <c r="K24" s="581"/>
    </row>
    <row r="25" spans="2:11" ht="22.5" customHeight="1" x14ac:dyDescent="0.2">
      <c r="B25" s="189" t="s">
        <v>396</v>
      </c>
      <c r="C25" s="190">
        <v>11</v>
      </c>
      <c r="D25" s="190">
        <v>11</v>
      </c>
      <c r="E25" s="190">
        <v>11</v>
      </c>
      <c r="F25" s="190">
        <v>11</v>
      </c>
      <c r="G25" s="194"/>
      <c r="H25" s="582"/>
      <c r="I25" s="583"/>
      <c r="J25" s="583"/>
      <c r="K25" s="584"/>
    </row>
    <row r="26" spans="2:11" ht="22.5" customHeight="1" x14ac:dyDescent="0.2">
      <c r="B26" s="189" t="s">
        <v>397</v>
      </c>
      <c r="C26" s="190">
        <v>10</v>
      </c>
      <c r="D26" s="190">
        <v>10</v>
      </c>
      <c r="E26" s="190">
        <v>10</v>
      </c>
      <c r="F26" s="190">
        <v>9</v>
      </c>
      <c r="G26" s="194"/>
      <c r="H26" s="582"/>
      <c r="I26" s="583"/>
      <c r="J26" s="583"/>
      <c r="K26" s="584"/>
    </row>
    <row r="27" spans="2:11" ht="22.5" customHeight="1" x14ac:dyDescent="0.2">
      <c r="B27" s="191" t="s">
        <v>240</v>
      </c>
      <c r="C27" s="318">
        <f>C26/C25</f>
        <v>0.90909090909090906</v>
      </c>
      <c r="D27" s="318">
        <f t="shared" ref="D27:F27" si="0">D26/D25</f>
        <v>0.90909090909090906</v>
      </c>
      <c r="E27" s="318">
        <f t="shared" si="0"/>
        <v>0.90909090909090906</v>
      </c>
      <c r="F27" s="318">
        <f t="shared" si="0"/>
        <v>0.81818181818181823</v>
      </c>
      <c r="G27" s="194"/>
      <c r="H27" s="582"/>
      <c r="I27" s="583"/>
      <c r="J27" s="583"/>
      <c r="K27" s="584"/>
    </row>
    <row r="28" spans="2:11" ht="22.5" customHeight="1" x14ac:dyDescent="0.2">
      <c r="B28" s="793"/>
      <c r="C28" s="793"/>
      <c r="D28" s="13"/>
      <c r="E28" s="13"/>
      <c r="F28" s="13"/>
      <c r="G28" s="13"/>
      <c r="H28" s="582"/>
      <c r="I28" s="583"/>
      <c r="J28" s="583"/>
      <c r="K28" s="584"/>
    </row>
    <row r="29" spans="2:11" ht="22.5" customHeight="1" x14ac:dyDescent="0.2">
      <c r="B29" s="594" t="s">
        <v>233</v>
      </c>
      <c r="C29" s="595"/>
      <c r="D29" s="595"/>
      <c r="E29" s="596"/>
      <c r="F29" s="13"/>
      <c r="G29" s="13"/>
      <c r="H29" s="582"/>
      <c r="I29" s="583"/>
      <c r="J29" s="583"/>
      <c r="K29" s="584"/>
    </row>
    <row r="30" spans="2:11" ht="22.5" customHeight="1" x14ac:dyDescent="0.2">
      <c r="B30" s="793"/>
      <c r="C30" s="793"/>
      <c r="D30" s="13"/>
      <c r="E30" s="13"/>
      <c r="F30" s="13"/>
      <c r="G30" s="13"/>
      <c r="H30" s="582"/>
      <c r="I30" s="583"/>
      <c r="J30" s="583"/>
      <c r="K30" s="584"/>
    </row>
    <row r="31" spans="2:11" ht="22.5" customHeight="1" x14ac:dyDescent="0.2">
      <c r="B31" s="793"/>
      <c r="C31" s="793"/>
      <c r="D31" s="13"/>
      <c r="E31" s="13"/>
      <c r="F31" s="13"/>
      <c r="G31" s="13"/>
      <c r="H31" s="582"/>
      <c r="I31" s="583"/>
      <c r="J31" s="583"/>
      <c r="K31" s="584"/>
    </row>
    <row r="32" spans="2:11" ht="22.5" customHeight="1" x14ac:dyDescent="0.2">
      <c r="B32" s="793"/>
      <c r="C32" s="793"/>
      <c r="D32" s="13"/>
      <c r="E32" s="13"/>
      <c r="F32" s="13"/>
      <c r="G32" s="13"/>
      <c r="H32" s="585"/>
      <c r="I32" s="586"/>
      <c r="J32" s="586"/>
      <c r="K32" s="587"/>
    </row>
    <row r="33" spans="2:10" ht="22.5" customHeight="1" x14ac:dyDescent="0.25">
      <c r="B33" s="794"/>
      <c r="C33" s="794"/>
      <c r="D33" s="6"/>
      <c r="E33" s="6"/>
      <c r="F33" s="6"/>
      <c r="G33" s="6"/>
      <c r="H33" s="6"/>
      <c r="I33" s="6"/>
      <c r="J33" s="6"/>
    </row>
    <row r="34" spans="2:10" ht="22.5" customHeight="1" x14ac:dyDescent="0.2">
      <c r="B34" s="765" t="s">
        <v>332</v>
      </c>
      <c r="C34" s="766"/>
      <c r="D34" s="766"/>
      <c r="E34" s="766"/>
      <c r="F34" s="8"/>
    </row>
    <row r="35" spans="2:10" ht="22.5" customHeight="1" x14ac:dyDescent="0.2">
      <c r="B35" s="8"/>
      <c r="C35" s="8"/>
      <c r="D35" s="8"/>
      <c r="E35" s="8"/>
      <c r="F35" s="8"/>
    </row>
    <row r="36" spans="2:10" ht="6" customHeight="1" x14ac:dyDescent="0.2">
      <c r="B36" s="8"/>
      <c r="C36" s="8"/>
      <c r="D36" s="8"/>
      <c r="E36" s="8"/>
      <c r="F36" s="8"/>
    </row>
    <row r="37" spans="2:10" ht="19.5" customHeight="1" x14ac:dyDescent="0.2">
      <c r="B37" s="8"/>
      <c r="C37" s="8"/>
      <c r="D37" s="8"/>
      <c r="E37" s="8"/>
      <c r="F37" s="8"/>
    </row>
    <row r="38" spans="2:10" ht="19.5" customHeight="1" x14ac:dyDescent="0.2">
      <c r="B38" s="8"/>
      <c r="C38" s="8"/>
      <c r="D38" s="8"/>
      <c r="E38" s="8"/>
      <c r="F38" s="8"/>
    </row>
    <row r="39" spans="2:10" ht="19.5" customHeight="1" x14ac:dyDescent="0.2">
      <c r="B39" s="8"/>
      <c r="C39" s="8"/>
      <c r="D39" s="8"/>
      <c r="E39" s="8"/>
      <c r="F39" s="8"/>
    </row>
    <row r="40" spans="2:10" ht="19.5" customHeight="1" x14ac:dyDescent="0.2">
      <c r="B40" s="8"/>
      <c r="C40" s="8"/>
      <c r="D40" s="8"/>
      <c r="E40" s="8"/>
      <c r="F40" s="8"/>
    </row>
    <row r="41" spans="2:10" ht="19.5" customHeight="1" x14ac:dyDescent="0.2">
      <c r="B41" s="8"/>
      <c r="C41" s="8"/>
      <c r="D41" s="8"/>
      <c r="E41" s="8"/>
      <c r="F41" s="8"/>
    </row>
    <row r="42" spans="2:10" ht="19.5" customHeight="1" x14ac:dyDescent="0.2">
      <c r="B42" s="8"/>
      <c r="C42" s="8"/>
      <c r="D42" s="8"/>
      <c r="E42" s="8"/>
      <c r="F42" s="8"/>
    </row>
    <row r="43" spans="2:10" ht="19.5" customHeight="1" x14ac:dyDescent="0.2">
      <c r="B43" s="8"/>
      <c r="C43" s="8"/>
      <c r="D43" s="8"/>
      <c r="E43" s="8"/>
      <c r="F43" s="8"/>
    </row>
    <row r="44" spans="2:10" ht="19.5" customHeight="1" x14ac:dyDescent="0.2">
      <c r="B44" s="8"/>
      <c r="C44" s="8"/>
      <c r="D44" s="8"/>
      <c r="E44" s="8"/>
      <c r="F44" s="8"/>
    </row>
    <row r="45" spans="2:10" ht="19.5" customHeight="1" x14ac:dyDescent="0.2"/>
    <row r="46" spans="2:10" ht="19.5" customHeight="1" x14ac:dyDescent="0.2">
      <c r="H46" s="588" t="s">
        <v>172</v>
      </c>
      <c r="I46" s="589"/>
      <c r="J46" s="589"/>
    </row>
  </sheetData>
  <sheetProtection sheet="1" formatCells="0" formatColumns="0" formatRows="0" insertColumns="0" insertRows="0" insertHyperlinks="0" deleteColumns="0" deleteRows="0" pivotTables="0"/>
  <mergeCells count="26">
    <mergeCell ref="B2:D2"/>
    <mergeCell ref="E2:J2"/>
    <mergeCell ref="B4:C4"/>
    <mergeCell ref="D4:E4"/>
    <mergeCell ref="F4:G4"/>
    <mergeCell ref="H4:J4"/>
    <mergeCell ref="B7:C7"/>
    <mergeCell ref="D7:J7"/>
    <mergeCell ref="B5:C5"/>
    <mergeCell ref="D5:E5"/>
    <mergeCell ref="F5:G5"/>
    <mergeCell ref="H5:J5"/>
    <mergeCell ref="B6:C6"/>
    <mergeCell ref="D6:E6"/>
    <mergeCell ref="F6:G6"/>
    <mergeCell ref="B28:C28"/>
    <mergeCell ref="H46:J46"/>
    <mergeCell ref="B9:J9"/>
    <mergeCell ref="B34:E34"/>
    <mergeCell ref="H22:K22"/>
    <mergeCell ref="H24:K32"/>
    <mergeCell ref="B30:C30"/>
    <mergeCell ref="B31:C31"/>
    <mergeCell ref="B32:C32"/>
    <mergeCell ref="B33:C33"/>
    <mergeCell ref="B29:E29"/>
  </mergeCells>
  <conditionalFormatting sqref="C12:C23">
    <cfRule type="cellIs" dxfId="42" priority="7" operator="lessThan">
      <formula>0.8</formula>
    </cfRule>
  </conditionalFormatting>
  <conditionalFormatting sqref="D13:F23">
    <cfRule type="cellIs" dxfId="41" priority="1" operator="lessThan">
      <formula>0.8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E561B-1205-4821-A5FB-E4BB68BF366A}">
  <sheetPr>
    <tabColor theme="9" tint="-0.499984740745262"/>
    <pageSetUpPr fitToPage="1"/>
  </sheetPr>
  <dimension ref="B2:L47"/>
  <sheetViews>
    <sheetView showGridLines="0" topLeftCell="A26" workbookViewId="0">
      <selection activeCell="K37" sqref="K37"/>
    </sheetView>
  </sheetViews>
  <sheetFormatPr defaultColWidth="12.5703125" defaultRowHeight="15.75" customHeight="1" x14ac:dyDescent="0.2"/>
  <cols>
    <col min="1" max="1" width="3.42578125" customWidth="1"/>
    <col min="2" max="2" width="14.140625" customWidth="1"/>
    <col min="3" max="3" width="12.5703125" customWidth="1"/>
    <col min="4" max="4" width="14.42578125" customWidth="1"/>
    <col min="5" max="9" width="12.5703125" customWidth="1"/>
    <col min="10" max="10" width="11.28515625" customWidth="1"/>
    <col min="11" max="11" width="10.42578125" customWidth="1"/>
    <col min="12" max="12" width="9.85546875" bestFit="1" customWidth="1"/>
  </cols>
  <sheetData>
    <row r="2" spans="2:12" ht="55.5" customHeight="1" x14ac:dyDescent="0.2">
      <c r="B2" s="670"/>
      <c r="C2" s="671"/>
      <c r="D2" s="672"/>
      <c r="E2" s="673" t="s">
        <v>213</v>
      </c>
      <c r="F2" s="671"/>
      <c r="G2" s="671"/>
      <c r="H2" s="671"/>
      <c r="I2" s="671"/>
      <c r="J2" s="672"/>
    </row>
    <row r="3" spans="2:12" ht="22.5" customHeight="1" x14ac:dyDescent="0.2">
      <c r="B3" s="46"/>
      <c r="C3" s="46"/>
      <c r="D3" s="47"/>
      <c r="E3" s="47"/>
      <c r="F3" s="47"/>
      <c r="G3" s="47"/>
      <c r="H3" s="47"/>
      <c r="I3" s="47"/>
    </row>
    <row r="4" spans="2:12" ht="42" customHeight="1" x14ac:dyDescent="0.2">
      <c r="B4" s="594" t="s">
        <v>214</v>
      </c>
      <c r="C4" s="596"/>
      <c r="D4" s="674" t="str">
        <f>Índex!B35</f>
        <v>PC3.01_Ind02.</v>
      </c>
      <c r="E4" s="672"/>
      <c r="F4" s="594" t="s">
        <v>215</v>
      </c>
      <c r="G4" s="596"/>
      <c r="H4" s="674" t="str">
        <f>Índex!C35</f>
        <v>Percentatge d’homes i dones matriculats per curs acadèmic i titulació</v>
      </c>
      <c r="I4" s="671"/>
      <c r="J4" s="672"/>
    </row>
    <row r="5" spans="2:12" ht="22.5" customHeight="1" x14ac:dyDescent="0.2">
      <c r="B5" s="594" t="s">
        <v>216</v>
      </c>
      <c r="C5" s="596"/>
      <c r="D5" s="674" t="str">
        <f>Índex!F35</f>
        <v>40-60%</v>
      </c>
      <c r="E5" s="672"/>
      <c r="F5" s="732" t="s">
        <v>217</v>
      </c>
      <c r="G5" s="596"/>
      <c r="H5" s="775" t="s">
        <v>241</v>
      </c>
      <c r="I5" s="671"/>
      <c r="J5" s="636"/>
    </row>
    <row r="6" spans="2:12" ht="22.5" customHeight="1" x14ac:dyDescent="0.2">
      <c r="B6" s="594" t="s">
        <v>219</v>
      </c>
      <c r="C6" s="596"/>
      <c r="D6" s="674" t="s">
        <v>220</v>
      </c>
      <c r="E6" s="672"/>
      <c r="F6" s="594" t="s">
        <v>242</v>
      </c>
      <c r="G6" s="596"/>
      <c r="H6" s="12" t="str">
        <f>Índex!E35</f>
        <v xml:space="preserve">Gestor Acadèmic </v>
      </c>
      <c r="J6" s="19"/>
    </row>
    <row r="7" spans="2:12" ht="22.5" customHeight="1" x14ac:dyDescent="0.2">
      <c r="B7" s="594" t="s">
        <v>222</v>
      </c>
      <c r="C7" s="596"/>
      <c r="D7" s="674" t="str">
        <f>Índex!G35</f>
        <v>PC3.01. Accés a Estudis i Perfils d’Ingrés</v>
      </c>
      <c r="E7" s="671"/>
      <c r="F7" s="671"/>
      <c r="G7" s="671"/>
      <c r="H7" s="671"/>
      <c r="I7" s="671"/>
      <c r="J7" s="672"/>
    </row>
    <row r="8" spans="2:12" ht="7.5" customHeight="1" x14ac:dyDescent="0.2"/>
    <row r="9" spans="2:12" ht="22.5" customHeight="1" x14ac:dyDescent="0.2">
      <c r="B9" s="594" t="s">
        <v>223</v>
      </c>
      <c r="C9" s="595"/>
      <c r="D9" s="595"/>
      <c r="E9" s="595"/>
      <c r="F9" s="595"/>
      <c r="G9" s="595"/>
      <c r="H9" s="595"/>
      <c r="I9" s="595"/>
      <c r="J9" s="596"/>
    </row>
    <row r="10" spans="2:12" ht="22.5" customHeight="1" x14ac:dyDescent="0.2">
      <c r="B10" s="14"/>
      <c r="C10" s="13"/>
      <c r="D10" s="13"/>
      <c r="E10" s="13"/>
      <c r="F10" s="13"/>
      <c r="G10" s="13"/>
      <c r="H10" s="13"/>
      <c r="I10" s="13"/>
      <c r="J10" s="13"/>
    </row>
    <row r="11" spans="2:12" ht="22.5" customHeight="1" x14ac:dyDescent="0.2">
      <c r="B11" s="795" t="s">
        <v>398</v>
      </c>
      <c r="C11" s="319" t="s">
        <v>225</v>
      </c>
      <c r="D11" s="319" t="s">
        <v>226</v>
      </c>
      <c r="E11" s="319" t="s">
        <v>227</v>
      </c>
      <c r="F11" s="319" t="s">
        <v>228</v>
      </c>
      <c r="G11" s="319" t="s">
        <v>229</v>
      </c>
      <c r="H11" s="319" t="s">
        <v>225</v>
      </c>
      <c r="I11" s="319" t="s">
        <v>226</v>
      </c>
      <c r="J11" s="319" t="s">
        <v>227</v>
      </c>
      <c r="K11" s="319" t="s">
        <v>228</v>
      </c>
      <c r="L11" s="320" t="s">
        <v>229</v>
      </c>
    </row>
    <row r="12" spans="2:12" ht="22.5" customHeight="1" x14ac:dyDescent="0.2">
      <c r="B12" s="795"/>
      <c r="C12" s="319" t="s">
        <v>399</v>
      </c>
      <c r="D12" s="319" t="s">
        <v>399</v>
      </c>
      <c r="E12" s="319" t="s">
        <v>399</v>
      </c>
      <c r="F12" s="319" t="s">
        <v>399</v>
      </c>
      <c r="G12" s="319" t="s">
        <v>399</v>
      </c>
      <c r="H12" s="319" t="s">
        <v>400</v>
      </c>
      <c r="I12" s="319" t="s">
        <v>400</v>
      </c>
      <c r="J12" s="319" t="s">
        <v>400</v>
      </c>
      <c r="K12" s="319" t="s">
        <v>400</v>
      </c>
      <c r="L12" s="320" t="s">
        <v>400</v>
      </c>
    </row>
    <row r="13" spans="2:12" ht="54.75" customHeight="1" x14ac:dyDescent="0.2">
      <c r="B13" s="27" t="s">
        <v>244</v>
      </c>
      <c r="C13" s="198">
        <v>0.52</v>
      </c>
      <c r="D13" s="124">
        <v>0.52</v>
      </c>
      <c r="E13" s="124">
        <v>0.6</v>
      </c>
      <c r="F13" s="198">
        <v>0.59</v>
      </c>
      <c r="G13" s="233">
        <v>0.56999999999999995</v>
      </c>
      <c r="H13" s="198">
        <v>0.5</v>
      </c>
      <c r="I13" s="198">
        <v>0.48</v>
      </c>
      <c r="J13" s="198">
        <v>0.4</v>
      </c>
      <c r="K13" s="198">
        <v>0.41</v>
      </c>
      <c r="L13" s="233">
        <v>0.43</v>
      </c>
    </row>
    <row r="14" spans="2:12" ht="22.5" customHeight="1" x14ac:dyDescent="0.2">
      <c r="B14" s="27" t="s">
        <v>401</v>
      </c>
      <c r="C14" s="198">
        <v>0.45</v>
      </c>
      <c r="D14" s="124">
        <v>0.42</v>
      </c>
      <c r="E14" s="124">
        <v>0.71</v>
      </c>
      <c r="F14" s="198">
        <v>0.52</v>
      </c>
      <c r="G14" s="233">
        <v>0.4</v>
      </c>
      <c r="H14" s="198">
        <v>0.55000000000000004</v>
      </c>
      <c r="I14" s="198">
        <v>0.57999999999999996</v>
      </c>
      <c r="J14" s="198">
        <v>0.28999999999999998</v>
      </c>
      <c r="K14" s="198">
        <v>0.48</v>
      </c>
      <c r="L14" s="233">
        <v>0.6</v>
      </c>
    </row>
    <row r="15" spans="2:12" ht="22.5" customHeight="1" x14ac:dyDescent="0.2">
      <c r="B15" s="27" t="s">
        <v>246</v>
      </c>
      <c r="C15" s="198">
        <v>0.51</v>
      </c>
      <c r="D15" s="124">
        <v>0.51</v>
      </c>
      <c r="E15" s="124">
        <v>0.32</v>
      </c>
      <c r="F15" s="198">
        <v>0.49</v>
      </c>
      <c r="G15" s="233">
        <v>0.4</v>
      </c>
      <c r="H15" s="198">
        <v>0.49</v>
      </c>
      <c r="I15" s="198">
        <v>0.49</v>
      </c>
      <c r="J15" s="198">
        <v>0.68</v>
      </c>
      <c r="K15" s="198">
        <v>0.51</v>
      </c>
      <c r="L15" s="233">
        <v>0.6</v>
      </c>
    </row>
    <row r="16" spans="2:12" ht="22.5" customHeight="1" x14ac:dyDescent="0.2">
      <c r="B16" s="27" t="s">
        <v>247</v>
      </c>
      <c r="C16" s="198">
        <v>0.17</v>
      </c>
      <c r="D16" s="124">
        <v>0.17</v>
      </c>
      <c r="E16" s="124">
        <v>0.26</v>
      </c>
      <c r="F16" s="198">
        <v>0.28999999999999998</v>
      </c>
      <c r="G16" s="233">
        <v>0.28000000000000003</v>
      </c>
      <c r="H16" s="198">
        <v>0.83</v>
      </c>
      <c r="I16" s="198">
        <v>0.83</v>
      </c>
      <c r="J16" s="198">
        <v>0.74</v>
      </c>
      <c r="K16" s="198">
        <v>0.71</v>
      </c>
      <c r="L16" s="233">
        <v>0.72</v>
      </c>
    </row>
    <row r="17" spans="2:12" ht="22.5" customHeight="1" x14ac:dyDescent="0.2">
      <c r="B17" s="27" t="s">
        <v>336</v>
      </c>
      <c r="C17" s="198">
        <v>0.27</v>
      </c>
      <c r="D17" s="124">
        <v>0.27</v>
      </c>
      <c r="E17" s="124">
        <v>0.35</v>
      </c>
      <c r="F17" s="198">
        <v>0.42</v>
      </c>
      <c r="G17" s="233">
        <v>0.27</v>
      </c>
      <c r="H17" s="198">
        <v>0.73</v>
      </c>
      <c r="I17" s="198">
        <v>0.73</v>
      </c>
      <c r="J17" s="198">
        <v>0.65</v>
      </c>
      <c r="K17" s="198">
        <v>0.57999999999999996</v>
      </c>
      <c r="L17" s="233">
        <v>0.73</v>
      </c>
    </row>
    <row r="18" spans="2:12" ht="22.5" customHeight="1" x14ac:dyDescent="0.2">
      <c r="B18" s="27" t="s">
        <v>337</v>
      </c>
      <c r="C18" s="198">
        <v>0.27</v>
      </c>
      <c r="D18" s="124">
        <v>0.27</v>
      </c>
      <c r="E18" s="124">
        <v>0.28999999999999998</v>
      </c>
      <c r="F18" s="198">
        <v>0.5</v>
      </c>
      <c r="G18" s="233">
        <v>0.36</v>
      </c>
      <c r="H18" s="198">
        <v>0.73</v>
      </c>
      <c r="I18" s="198">
        <v>0.73</v>
      </c>
      <c r="J18" s="198">
        <v>0.71</v>
      </c>
      <c r="K18" s="198">
        <v>0.5</v>
      </c>
      <c r="L18" s="233">
        <v>0.64</v>
      </c>
    </row>
    <row r="19" spans="2:12" ht="22.5" customHeight="1" x14ac:dyDescent="0.2">
      <c r="B19" s="27" t="s">
        <v>250</v>
      </c>
      <c r="C19" s="198">
        <v>0.46</v>
      </c>
      <c r="D19" s="124">
        <v>0.46</v>
      </c>
      <c r="E19" s="124">
        <v>0.48</v>
      </c>
      <c r="F19" s="198">
        <v>0.33</v>
      </c>
      <c r="G19" s="233">
        <v>0.26</v>
      </c>
      <c r="H19" s="198">
        <v>0.54</v>
      </c>
      <c r="I19" s="198">
        <v>0.54</v>
      </c>
      <c r="J19" s="198">
        <v>0.52</v>
      </c>
      <c r="K19" s="198">
        <v>0.67</v>
      </c>
      <c r="L19" s="233">
        <v>0.74</v>
      </c>
    </row>
    <row r="20" spans="2:12" ht="22.5" customHeight="1" x14ac:dyDescent="0.2">
      <c r="B20" s="27" t="s">
        <v>251</v>
      </c>
      <c r="C20" s="198">
        <v>0.36</v>
      </c>
      <c r="D20" s="124">
        <v>0.36</v>
      </c>
      <c r="E20" s="124">
        <v>0.47</v>
      </c>
      <c r="F20" s="198">
        <v>0.49</v>
      </c>
      <c r="G20" s="233">
        <v>0.33</v>
      </c>
      <c r="H20" s="198">
        <v>0.64</v>
      </c>
      <c r="I20" s="198">
        <v>0.64</v>
      </c>
      <c r="J20" s="198">
        <v>0.53</v>
      </c>
      <c r="K20" s="198">
        <v>0.52</v>
      </c>
      <c r="L20" s="233">
        <v>0.67</v>
      </c>
    </row>
    <row r="21" spans="2:12" ht="22.5" customHeight="1" x14ac:dyDescent="0.2">
      <c r="B21" s="27" t="s">
        <v>252</v>
      </c>
      <c r="C21" s="198">
        <v>0.42</v>
      </c>
      <c r="D21" s="124">
        <v>0.42</v>
      </c>
      <c r="E21" s="124">
        <v>0.33</v>
      </c>
      <c r="F21" s="198">
        <v>0.41</v>
      </c>
      <c r="G21" s="233">
        <v>0.35</v>
      </c>
      <c r="H21" s="198">
        <v>0.57999999999999996</v>
      </c>
      <c r="I21" s="198">
        <v>0.57999999999999996</v>
      </c>
      <c r="J21" s="198">
        <v>0.67</v>
      </c>
      <c r="K21" s="198">
        <v>0.59</v>
      </c>
      <c r="L21" s="233">
        <v>0.65</v>
      </c>
    </row>
    <row r="22" spans="2:12" ht="22.5" customHeight="1" x14ac:dyDescent="0.2">
      <c r="B22" s="27" t="s">
        <v>253</v>
      </c>
      <c r="C22" s="198">
        <v>0.38</v>
      </c>
      <c r="D22" s="124">
        <v>0.38</v>
      </c>
      <c r="E22" s="124">
        <v>0.41</v>
      </c>
      <c r="F22" s="198">
        <v>0.28999999999999998</v>
      </c>
      <c r="G22" s="233">
        <v>0.42</v>
      </c>
      <c r="H22" s="198">
        <v>0.62</v>
      </c>
      <c r="I22" s="198">
        <v>0.62</v>
      </c>
      <c r="J22" s="198">
        <v>0.59</v>
      </c>
      <c r="K22" s="198">
        <v>0.71</v>
      </c>
      <c r="L22" s="233">
        <v>0.57999999999999996</v>
      </c>
    </row>
    <row r="23" spans="2:12" ht="22.5" customHeight="1" x14ac:dyDescent="0.2">
      <c r="B23" s="27" t="s">
        <v>254</v>
      </c>
      <c r="C23" s="198">
        <v>0.49</v>
      </c>
      <c r="D23" s="124">
        <v>0.49</v>
      </c>
      <c r="E23" s="124">
        <v>0.33</v>
      </c>
      <c r="F23" s="198">
        <v>0.39</v>
      </c>
      <c r="G23" s="233">
        <v>0.42</v>
      </c>
      <c r="H23" s="198">
        <v>0.51</v>
      </c>
      <c r="I23" s="198">
        <v>0.51</v>
      </c>
      <c r="J23" s="198">
        <v>0.67</v>
      </c>
      <c r="K23" s="198">
        <v>0.61</v>
      </c>
      <c r="L23" s="233">
        <v>0.57999999999999996</v>
      </c>
    </row>
    <row r="24" spans="2:12" ht="22.5" customHeight="1" x14ac:dyDescent="0.25">
      <c r="B24" s="124" t="str">
        <f>D5</f>
        <v>40-60%</v>
      </c>
      <c r="C24" s="199">
        <v>7</v>
      </c>
      <c r="D24" s="196">
        <f>COUNTIFS(D13:D23,"&gt;=40%",D13:D23,"&lt;=60%")</f>
        <v>6</v>
      </c>
      <c r="E24" s="196">
        <f>COUNTIFS(E13:E23,"&gt;=40%",E13:E23,"&lt;=60%")</f>
        <v>4</v>
      </c>
      <c r="F24" s="199">
        <v>4</v>
      </c>
      <c r="G24" s="42">
        <v>5</v>
      </c>
      <c r="H24" s="199">
        <v>11</v>
      </c>
      <c r="I24" s="199">
        <v>11</v>
      </c>
      <c r="J24" s="199">
        <v>10</v>
      </c>
      <c r="K24" s="199">
        <v>8</v>
      </c>
      <c r="L24" s="42">
        <v>8</v>
      </c>
    </row>
    <row r="25" spans="2:12" ht="22.5" customHeight="1" x14ac:dyDescent="0.2">
      <c r="B25" s="197" t="s">
        <v>274</v>
      </c>
      <c r="C25" s="42">
        <v>11</v>
      </c>
      <c r="D25" s="197">
        <f>COUNT(D13:D23)</f>
        <v>11</v>
      </c>
      <c r="E25" s="197">
        <f>COUNT(E13:E23)</f>
        <v>11</v>
      </c>
      <c r="F25" s="42">
        <v>11</v>
      </c>
      <c r="G25" s="42">
        <v>11</v>
      </c>
      <c r="H25" s="42">
        <v>11</v>
      </c>
      <c r="I25" s="42">
        <v>11</v>
      </c>
      <c r="J25" s="42">
        <v>11</v>
      </c>
      <c r="K25" s="42">
        <v>11</v>
      </c>
      <c r="L25" s="42">
        <v>11</v>
      </c>
    </row>
    <row r="26" spans="2:12" ht="22.5" customHeight="1" x14ac:dyDescent="0.2">
      <c r="B26" s="322" t="s">
        <v>231</v>
      </c>
      <c r="C26" s="199" t="s">
        <v>94</v>
      </c>
      <c r="D26" s="124" t="str">
        <f t="shared" ref="D26:E26" si="0">$D5</f>
        <v>40-60%</v>
      </c>
      <c r="E26" s="124" t="str">
        <f t="shared" si="0"/>
        <v>40-60%</v>
      </c>
      <c r="F26" s="199" t="s">
        <v>94</v>
      </c>
      <c r="G26" s="42" t="s">
        <v>94</v>
      </c>
      <c r="H26" s="199" t="s">
        <v>94</v>
      </c>
      <c r="I26" s="199" t="s">
        <v>94</v>
      </c>
      <c r="J26" s="199" t="s">
        <v>94</v>
      </c>
      <c r="K26" s="199" t="s">
        <v>94</v>
      </c>
      <c r="L26" s="42" t="s">
        <v>94</v>
      </c>
    </row>
    <row r="27" spans="2:12" ht="22.5" customHeight="1" x14ac:dyDescent="0.2">
      <c r="B27" s="321"/>
      <c r="C27" s="199" t="s">
        <v>399</v>
      </c>
      <c r="D27" s="124" t="s">
        <v>399</v>
      </c>
      <c r="E27" s="124" t="s">
        <v>399</v>
      </c>
      <c r="F27" s="199" t="s">
        <v>399</v>
      </c>
      <c r="G27" s="42" t="s">
        <v>399</v>
      </c>
      <c r="H27" s="199" t="s">
        <v>400</v>
      </c>
      <c r="I27" s="199" t="s">
        <v>400</v>
      </c>
      <c r="J27" s="199" t="s">
        <v>400</v>
      </c>
      <c r="K27" s="199" t="s">
        <v>400</v>
      </c>
      <c r="L27" s="42" t="s">
        <v>400</v>
      </c>
    </row>
    <row r="28" spans="2:12" ht="22.5" customHeight="1" x14ac:dyDescent="0.2">
      <c r="B28" s="325" t="s">
        <v>232</v>
      </c>
      <c r="C28" s="326">
        <v>0.63629999999999998</v>
      </c>
      <c r="D28" s="327">
        <f>D24/D25</f>
        <v>0.54545454545454541</v>
      </c>
      <c r="E28" s="327">
        <f>E24/E25</f>
        <v>0.36363636363636365</v>
      </c>
      <c r="F28" s="326">
        <v>0.36359999999999998</v>
      </c>
      <c r="G28" s="328">
        <v>0.45450000000000002</v>
      </c>
      <c r="H28" s="329">
        <v>1</v>
      </c>
      <c r="I28" s="329">
        <v>1</v>
      </c>
      <c r="J28" s="326">
        <v>0.90900000000000003</v>
      </c>
      <c r="K28" s="326">
        <v>0.72719999999999996</v>
      </c>
      <c r="L28" s="328">
        <v>0.72719999999999996</v>
      </c>
    </row>
    <row r="29" spans="2:12" ht="22.5" customHeight="1" x14ac:dyDescent="0.2">
      <c r="B29" s="21"/>
      <c r="C29" s="21"/>
      <c r="D29" s="32"/>
      <c r="E29" s="32"/>
      <c r="F29" s="21"/>
      <c r="G29" s="13"/>
      <c r="H29" s="13"/>
      <c r="I29" s="13"/>
      <c r="J29" s="13"/>
    </row>
    <row r="30" spans="2:12" ht="22.5" customHeight="1" x14ac:dyDescent="0.2">
      <c r="B30" s="594" t="s">
        <v>233</v>
      </c>
      <c r="C30" s="595"/>
      <c r="D30" s="595"/>
      <c r="E30" s="596"/>
      <c r="F30" s="21"/>
      <c r="G30" s="13"/>
      <c r="H30" s="13"/>
      <c r="I30" s="13"/>
      <c r="J30" s="13"/>
    </row>
    <row r="35" spans="2:10" ht="22.5" customHeight="1" x14ac:dyDescent="0.2">
      <c r="B35" s="765" t="s">
        <v>332</v>
      </c>
      <c r="C35" s="766"/>
      <c r="D35" s="766"/>
      <c r="E35" s="766"/>
      <c r="F35" s="8"/>
    </row>
    <row r="36" spans="2:10" ht="22.5" customHeight="1" x14ac:dyDescent="0.2">
      <c r="B36" s="8"/>
      <c r="C36" s="8"/>
      <c r="D36" s="8"/>
      <c r="E36" s="8"/>
      <c r="F36" s="8"/>
    </row>
    <row r="37" spans="2:10" ht="6" customHeight="1" x14ac:dyDescent="0.2">
      <c r="B37" s="8"/>
      <c r="C37" s="8"/>
      <c r="D37" s="8"/>
      <c r="E37" s="8"/>
      <c r="F37" s="8"/>
    </row>
    <row r="38" spans="2:10" ht="19.5" customHeight="1" x14ac:dyDescent="0.2">
      <c r="B38" s="8"/>
      <c r="C38" s="8"/>
      <c r="D38" s="8"/>
      <c r="E38" s="8"/>
      <c r="F38" s="8"/>
    </row>
    <row r="39" spans="2:10" ht="19.5" customHeight="1" x14ac:dyDescent="0.2">
      <c r="B39" s="8"/>
      <c r="C39" s="8"/>
      <c r="D39" s="8"/>
      <c r="E39" s="8"/>
      <c r="F39" s="8"/>
    </row>
    <row r="40" spans="2:10" ht="19.5" customHeight="1" x14ac:dyDescent="0.2">
      <c r="B40" s="8"/>
      <c r="C40" s="8"/>
      <c r="D40" s="8"/>
      <c r="E40" s="8"/>
      <c r="F40" s="8"/>
    </row>
    <row r="41" spans="2:10" ht="19.5" customHeight="1" x14ac:dyDescent="0.2">
      <c r="B41" s="8"/>
      <c r="C41" s="8"/>
      <c r="D41" s="8"/>
      <c r="E41" s="8"/>
      <c r="F41" s="8"/>
    </row>
    <row r="42" spans="2:10" ht="19.5" customHeight="1" x14ac:dyDescent="0.2">
      <c r="B42" s="8"/>
      <c r="C42" s="8"/>
      <c r="D42" s="8"/>
      <c r="E42" s="8"/>
      <c r="F42" s="8"/>
    </row>
    <row r="43" spans="2:10" ht="19.5" customHeight="1" x14ac:dyDescent="0.2">
      <c r="B43" s="8"/>
      <c r="C43" s="8"/>
      <c r="D43" s="8"/>
      <c r="E43" s="8"/>
      <c r="F43" s="8"/>
    </row>
    <row r="44" spans="2:10" ht="19.5" customHeight="1" x14ac:dyDescent="0.2">
      <c r="B44" s="8"/>
      <c r="C44" s="8"/>
      <c r="D44" s="8"/>
      <c r="E44" s="8"/>
      <c r="F44" s="8"/>
    </row>
    <row r="45" spans="2:10" ht="19.5" customHeight="1" x14ac:dyDescent="0.2">
      <c r="B45" s="8"/>
      <c r="C45" s="8"/>
      <c r="D45" s="8"/>
      <c r="E45" s="8"/>
      <c r="F45" s="8"/>
    </row>
    <row r="46" spans="2:10" ht="19.5" customHeight="1" x14ac:dyDescent="0.2"/>
    <row r="47" spans="2:10" ht="19.5" customHeight="1" x14ac:dyDescent="0.2">
      <c r="H47" s="588" t="s">
        <v>172</v>
      </c>
      <c r="I47" s="589"/>
      <c r="J47" s="589"/>
    </row>
  </sheetData>
  <sheetProtection sheet="1" formatCells="0" formatColumns="0" formatRows="0" insertColumns="0" insertRows="0" insertHyperlinks="0" deleteColumns="0" deleteRows="0" pivotTables="0"/>
  <mergeCells count="20">
    <mergeCell ref="B2:D2"/>
    <mergeCell ref="E2:J2"/>
    <mergeCell ref="B4:C4"/>
    <mergeCell ref="D4:E4"/>
    <mergeCell ref="F4:G4"/>
    <mergeCell ref="H4:J4"/>
    <mergeCell ref="B7:C7"/>
    <mergeCell ref="D7:J7"/>
    <mergeCell ref="B5:C5"/>
    <mergeCell ref="D5:E5"/>
    <mergeCell ref="F5:G5"/>
    <mergeCell ref="H5:J5"/>
    <mergeCell ref="B6:C6"/>
    <mergeCell ref="D6:E6"/>
    <mergeCell ref="F6:G6"/>
    <mergeCell ref="B30:E30"/>
    <mergeCell ref="B9:J9"/>
    <mergeCell ref="B35:E35"/>
    <mergeCell ref="H47:J47"/>
    <mergeCell ref="B11:B12"/>
  </mergeCells>
  <conditionalFormatting sqref="C13:L23">
    <cfRule type="cellIs" dxfId="40" priority="1" operator="between">
      <formula>0%</formula>
      <formula>39%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DD594-E1D9-4D65-BE27-424EEE5BD7FC}">
  <sheetPr>
    <tabColor theme="9" tint="-0.499984740745262"/>
    <pageSetUpPr fitToPage="1"/>
  </sheetPr>
  <dimension ref="B2:J50"/>
  <sheetViews>
    <sheetView showGridLines="0" topLeftCell="A20" workbookViewId="0">
      <selection activeCell="G22" sqref="G22"/>
    </sheetView>
  </sheetViews>
  <sheetFormatPr defaultColWidth="12.5703125" defaultRowHeight="15.75" customHeight="1" x14ac:dyDescent="0.2"/>
  <cols>
    <col min="1" max="1" width="3.42578125" customWidth="1"/>
    <col min="2" max="2" width="14.140625" customWidth="1"/>
    <col min="3" max="3" width="12.5703125" customWidth="1"/>
    <col min="4" max="4" width="17.28515625" bestFit="1" customWidth="1"/>
    <col min="5" max="9" width="12.5703125" customWidth="1"/>
    <col min="10" max="10" width="36.28515625" customWidth="1"/>
    <col min="11" max="11" width="8.85546875" customWidth="1"/>
    <col min="12" max="21" width="7.5703125" customWidth="1"/>
  </cols>
  <sheetData>
    <row r="2" spans="2:10" ht="55.5" customHeight="1" x14ac:dyDescent="0.2">
      <c r="B2" s="670"/>
      <c r="C2" s="671"/>
      <c r="D2" s="672"/>
      <c r="E2" s="673" t="s">
        <v>213</v>
      </c>
      <c r="F2" s="671"/>
      <c r="G2" s="671"/>
      <c r="H2" s="671"/>
      <c r="I2" s="671"/>
      <c r="J2" s="672"/>
    </row>
    <row r="3" spans="2:10" ht="22.5" customHeight="1" x14ac:dyDescent="0.2">
      <c r="B3" s="46"/>
      <c r="C3" s="46"/>
      <c r="D3" s="47"/>
      <c r="E3" s="47"/>
      <c r="F3" s="47"/>
      <c r="G3" s="47"/>
      <c r="H3" s="47"/>
      <c r="I3" s="47"/>
    </row>
    <row r="4" spans="2:10" ht="42" customHeight="1" x14ac:dyDescent="0.2">
      <c r="B4" s="594" t="s">
        <v>214</v>
      </c>
      <c r="C4" s="596"/>
      <c r="D4" s="674" t="str">
        <f>Índex!B36</f>
        <v>PC3.01_Ind03.</v>
      </c>
      <c r="E4" s="672"/>
      <c r="F4" s="594" t="s">
        <v>215</v>
      </c>
      <c r="G4" s="596"/>
      <c r="H4" s="674" t="str">
        <f>Índex!C36</f>
        <v>Percentatge global d’alumnat matriculat als màsters oficials provinent de l’estranger</v>
      </c>
      <c r="I4" s="671"/>
      <c r="J4" s="672"/>
    </row>
    <row r="5" spans="2:10" ht="22.5" customHeight="1" x14ac:dyDescent="0.2">
      <c r="B5" s="594" t="s">
        <v>323</v>
      </c>
      <c r="C5" s="596"/>
      <c r="D5" s="736">
        <f>Índex!F36</f>
        <v>0.2</v>
      </c>
      <c r="E5" s="672"/>
      <c r="F5" s="732" t="s">
        <v>217</v>
      </c>
      <c r="G5" s="596"/>
      <c r="H5" s="775" t="s">
        <v>241</v>
      </c>
      <c r="I5" s="671"/>
      <c r="J5" s="636"/>
    </row>
    <row r="6" spans="2:10" ht="22.5" customHeight="1" x14ac:dyDescent="0.2">
      <c r="B6" s="594" t="s">
        <v>219</v>
      </c>
      <c r="C6" s="596"/>
      <c r="D6" s="674" t="s">
        <v>220</v>
      </c>
      <c r="E6" s="672"/>
      <c r="F6" s="594" t="s">
        <v>242</v>
      </c>
      <c r="G6" s="596"/>
      <c r="H6" s="12" t="str">
        <f>Índex!E36</f>
        <v xml:space="preserve">Gestor Acadèmic </v>
      </c>
      <c r="J6" s="19"/>
    </row>
    <row r="7" spans="2:10" ht="22.5" customHeight="1" x14ac:dyDescent="0.2">
      <c r="B7" s="594" t="s">
        <v>222</v>
      </c>
      <c r="C7" s="596"/>
      <c r="D7" s="674" t="str">
        <f>Índex!G36</f>
        <v>PC3.01. Accés a Estudis i Perfils d’Ingrés</v>
      </c>
      <c r="E7" s="671"/>
      <c r="F7" s="671"/>
      <c r="G7" s="671"/>
      <c r="H7" s="671"/>
      <c r="I7" s="671"/>
      <c r="J7" s="672"/>
    </row>
    <row r="8" spans="2:10" ht="7.5" customHeight="1" x14ac:dyDescent="0.2"/>
    <row r="9" spans="2:10" ht="22.5" customHeight="1" x14ac:dyDescent="0.2">
      <c r="B9" s="594" t="s">
        <v>223</v>
      </c>
      <c r="C9" s="595"/>
      <c r="D9" s="595"/>
      <c r="E9" s="595"/>
      <c r="F9" s="595"/>
      <c r="G9" s="595"/>
      <c r="H9" s="595"/>
      <c r="I9" s="595"/>
      <c r="J9" s="596"/>
    </row>
    <row r="10" spans="2:10" ht="22.5" customHeight="1" x14ac:dyDescent="0.2">
      <c r="B10" s="14"/>
      <c r="C10" s="13"/>
      <c r="D10" s="13"/>
      <c r="E10" s="13"/>
      <c r="F10" s="13"/>
      <c r="G10" s="13"/>
      <c r="H10" s="13"/>
      <c r="I10" s="13"/>
      <c r="J10" s="13"/>
    </row>
    <row r="11" spans="2:10" ht="22.5" customHeight="1" x14ac:dyDescent="0.2">
      <c r="B11" s="173" t="s">
        <v>172</v>
      </c>
      <c r="H11" s="13"/>
      <c r="I11" s="13"/>
      <c r="J11" s="13"/>
    </row>
    <row r="12" spans="2:10" ht="33" customHeight="1" x14ac:dyDescent="0.2">
      <c r="B12" s="94" t="s">
        <v>402</v>
      </c>
      <c r="C12" s="94" t="s">
        <v>225</v>
      </c>
      <c r="D12" s="94" t="s">
        <v>226</v>
      </c>
      <c r="E12" s="94" t="s">
        <v>227</v>
      </c>
      <c r="F12" s="94" t="s">
        <v>228</v>
      </c>
      <c r="G12" s="94" t="s">
        <v>229</v>
      </c>
      <c r="H12" s="13"/>
      <c r="I12" s="13"/>
      <c r="J12" s="13"/>
    </row>
    <row r="13" spans="2:10" ht="71.25" x14ac:dyDescent="0.2">
      <c r="B13" s="31" t="s">
        <v>403</v>
      </c>
      <c r="C13" s="57">
        <v>0.61</v>
      </c>
      <c r="D13" s="57">
        <v>0.75</v>
      </c>
      <c r="E13" s="41">
        <v>0.5</v>
      </c>
      <c r="F13" s="57">
        <v>0.64</v>
      </c>
      <c r="G13" s="57">
        <v>0.75</v>
      </c>
      <c r="H13" s="13"/>
      <c r="I13" s="13"/>
      <c r="J13" s="13"/>
    </row>
    <row r="14" spans="2:10" ht="47.25" customHeight="1" x14ac:dyDescent="0.2">
      <c r="B14" s="31" t="s">
        <v>404</v>
      </c>
      <c r="C14" s="57">
        <v>0.05</v>
      </c>
      <c r="D14" s="57">
        <v>0.28999999999999998</v>
      </c>
      <c r="E14" s="41">
        <v>0.125</v>
      </c>
      <c r="F14" s="57">
        <v>0.19</v>
      </c>
      <c r="G14" s="41">
        <v>0.1153</v>
      </c>
      <c r="H14" s="13"/>
      <c r="I14" s="13"/>
      <c r="J14" s="13"/>
    </row>
    <row r="15" spans="2:10" ht="22.5" customHeight="1" x14ac:dyDescent="0.2">
      <c r="B15" s="31" t="s">
        <v>405</v>
      </c>
      <c r="C15" s="57">
        <v>0.53</v>
      </c>
      <c r="D15" s="57">
        <v>0.27</v>
      </c>
      <c r="E15" s="41">
        <v>0</v>
      </c>
      <c r="F15" s="57">
        <v>0.14000000000000001</v>
      </c>
      <c r="G15" s="41">
        <v>0.22220000000000001</v>
      </c>
      <c r="H15" s="13"/>
      <c r="I15" s="13"/>
      <c r="J15" s="13"/>
    </row>
    <row r="16" spans="2:10" ht="42.75" customHeight="1" x14ac:dyDescent="0.2">
      <c r="B16" s="31" t="s">
        <v>406</v>
      </c>
      <c r="C16" s="57">
        <v>0.26</v>
      </c>
      <c r="D16" s="57">
        <v>0.28000000000000003</v>
      </c>
      <c r="E16" s="41">
        <v>0.16700000000000001</v>
      </c>
      <c r="F16" s="57">
        <v>0.14000000000000001</v>
      </c>
      <c r="G16" s="41">
        <v>0.14280000000000001</v>
      </c>
      <c r="H16" s="13"/>
      <c r="I16" s="13"/>
      <c r="J16" s="13"/>
    </row>
    <row r="17" spans="2:7" ht="39" customHeight="1" x14ac:dyDescent="0.2">
      <c r="B17" s="31" t="s">
        <v>271</v>
      </c>
      <c r="C17" s="57">
        <v>0.2</v>
      </c>
      <c r="D17" s="57">
        <v>0.38</v>
      </c>
      <c r="E17" s="41">
        <v>0</v>
      </c>
      <c r="F17" s="57">
        <v>0</v>
      </c>
      <c r="G17" s="57">
        <v>0.25</v>
      </c>
    </row>
    <row r="18" spans="2:7" ht="22.5" customHeight="1" x14ac:dyDescent="0.2">
      <c r="B18" s="31" t="s">
        <v>283</v>
      </c>
      <c r="C18" s="57">
        <v>0.19</v>
      </c>
      <c r="D18" s="57">
        <v>0.05</v>
      </c>
      <c r="E18" s="41">
        <v>0.14299999999999999</v>
      </c>
      <c r="F18" s="57">
        <v>0.15</v>
      </c>
      <c r="G18" s="41">
        <v>8.3299999999999999E-2</v>
      </c>
    </row>
    <row r="19" spans="2:7" ht="22.5" customHeight="1" x14ac:dyDescent="0.2">
      <c r="B19" s="31" t="s">
        <v>285</v>
      </c>
      <c r="C19" s="57">
        <v>0.13</v>
      </c>
      <c r="D19" s="57">
        <v>0.09</v>
      </c>
      <c r="E19" s="41">
        <v>8.1000000000000003E-2</v>
      </c>
      <c r="F19" s="57">
        <v>0.22</v>
      </c>
      <c r="G19" s="41">
        <v>0.10249999999999999</v>
      </c>
    </row>
    <row r="20" spans="2:7" ht="49.5" customHeight="1" x14ac:dyDescent="0.2">
      <c r="B20" s="261" t="s">
        <v>5</v>
      </c>
      <c r="C20" s="405">
        <v>0.2</v>
      </c>
      <c r="D20" s="405">
        <v>0.2</v>
      </c>
      <c r="E20" s="405">
        <v>0.2</v>
      </c>
      <c r="F20" s="405">
        <v>0.2</v>
      </c>
      <c r="G20" s="405">
        <v>0.2</v>
      </c>
    </row>
    <row r="21" spans="2:7" ht="49.5" customHeight="1" x14ac:dyDescent="0.2">
      <c r="B21" s="96" t="s">
        <v>407</v>
      </c>
      <c r="C21" s="519">
        <v>7</v>
      </c>
      <c r="D21" s="519">
        <v>7</v>
      </c>
      <c r="E21" s="519">
        <v>7</v>
      </c>
      <c r="F21" s="519">
        <v>7</v>
      </c>
      <c r="G21" s="519">
        <v>7</v>
      </c>
    </row>
    <row r="22" spans="2:7" ht="49.5" customHeight="1" x14ac:dyDescent="0.2">
      <c r="B22" s="96" t="s">
        <v>408</v>
      </c>
      <c r="C22" s="520">
        <v>4</v>
      </c>
      <c r="D22" s="519">
        <v>5</v>
      </c>
      <c r="E22" s="519">
        <v>1</v>
      </c>
      <c r="F22" s="519">
        <v>2</v>
      </c>
      <c r="G22" s="519">
        <v>3</v>
      </c>
    </row>
    <row r="23" spans="2:7" ht="47.25" customHeight="1" x14ac:dyDescent="0.2">
      <c r="B23" s="261" t="s">
        <v>240</v>
      </c>
      <c r="C23" s="406">
        <f>C22/C21</f>
        <v>0.5714285714285714</v>
      </c>
      <c r="D23" s="406">
        <f t="shared" ref="D23:G23" si="0">D22/D21</f>
        <v>0.7142857142857143</v>
      </c>
      <c r="E23" s="406">
        <f t="shared" si="0"/>
        <v>0.14285714285714285</v>
      </c>
      <c r="F23" s="406">
        <f t="shared" si="0"/>
        <v>0.2857142857142857</v>
      </c>
      <c r="G23" s="406">
        <f t="shared" si="0"/>
        <v>0.42857142857142855</v>
      </c>
    </row>
    <row r="24" spans="2:7" ht="22.5" customHeight="1" x14ac:dyDescent="0.2">
      <c r="B24" s="21"/>
      <c r="C24" s="21"/>
      <c r="D24" s="21"/>
      <c r="E24" s="21"/>
      <c r="F24" s="21"/>
      <c r="G24" s="21"/>
    </row>
    <row r="25" spans="2:7" ht="22.5" customHeight="1" x14ac:dyDescent="0.2">
      <c r="B25" s="21"/>
      <c r="C25" s="21"/>
      <c r="D25" s="21"/>
      <c r="E25" s="21"/>
      <c r="F25" s="21"/>
      <c r="G25" s="21"/>
    </row>
    <row r="26" spans="2:7" ht="22.5" customHeight="1" x14ac:dyDescent="0.2">
      <c r="B26" s="594" t="s">
        <v>233</v>
      </c>
      <c r="C26" s="595"/>
      <c r="D26" s="595"/>
      <c r="E26" s="596"/>
      <c r="F26" s="86"/>
      <c r="G26" s="86"/>
    </row>
    <row r="38" spans="2:10" ht="22.5" customHeight="1" x14ac:dyDescent="0.2">
      <c r="B38" s="765" t="s">
        <v>332</v>
      </c>
      <c r="C38" s="766"/>
      <c r="D38" s="766"/>
      <c r="E38" s="766"/>
      <c r="F38" s="8"/>
      <c r="G38" s="594" t="s">
        <v>234</v>
      </c>
      <c r="H38" s="595"/>
      <c r="I38" s="595"/>
      <c r="J38" s="596"/>
    </row>
    <row r="39" spans="2:10" ht="22.5" customHeight="1" x14ac:dyDescent="0.2">
      <c r="B39" s="8"/>
      <c r="C39" s="8"/>
      <c r="D39" s="8"/>
      <c r="E39" s="8"/>
      <c r="F39" s="8"/>
      <c r="G39" s="9"/>
      <c r="H39" s="9"/>
      <c r="I39" s="9"/>
      <c r="J39" s="9"/>
    </row>
    <row r="40" spans="2:10" ht="6" customHeight="1" x14ac:dyDescent="0.2">
      <c r="B40" s="8"/>
      <c r="C40" s="8"/>
      <c r="D40" s="8"/>
      <c r="E40" s="8"/>
      <c r="F40" s="8"/>
      <c r="G40" s="579" t="s">
        <v>172</v>
      </c>
      <c r="H40" s="580"/>
      <c r="I40" s="580"/>
      <c r="J40" s="581"/>
    </row>
    <row r="41" spans="2:10" ht="19.5" customHeight="1" x14ac:dyDescent="0.2">
      <c r="B41" s="8"/>
      <c r="C41" s="8"/>
      <c r="D41" s="8"/>
      <c r="E41" s="8"/>
      <c r="F41" s="8"/>
      <c r="G41" s="582"/>
      <c r="H41" s="583"/>
      <c r="I41" s="583"/>
      <c r="J41" s="584"/>
    </row>
    <row r="42" spans="2:10" ht="19.5" customHeight="1" x14ac:dyDescent="0.2">
      <c r="B42" s="8"/>
      <c r="C42" s="8"/>
      <c r="D42" s="8"/>
      <c r="E42" s="8"/>
      <c r="F42" s="8"/>
      <c r="G42" s="582"/>
      <c r="H42" s="583"/>
      <c r="I42" s="583"/>
      <c r="J42" s="584"/>
    </row>
    <row r="43" spans="2:10" ht="19.5" customHeight="1" x14ac:dyDescent="0.2">
      <c r="B43" s="8"/>
      <c r="C43" s="8"/>
      <c r="D43" s="8"/>
      <c r="E43" s="8"/>
      <c r="F43" s="8"/>
      <c r="G43" s="582"/>
      <c r="H43" s="583"/>
      <c r="I43" s="583"/>
      <c r="J43" s="584"/>
    </row>
    <row r="44" spans="2:10" ht="19.5" customHeight="1" x14ac:dyDescent="0.2">
      <c r="B44" s="8"/>
      <c r="C44" s="8"/>
      <c r="D44" s="8"/>
      <c r="E44" s="8"/>
      <c r="F44" s="8"/>
      <c r="G44" s="582"/>
      <c r="H44" s="583"/>
      <c r="I44" s="583"/>
      <c r="J44" s="584"/>
    </row>
    <row r="45" spans="2:10" ht="19.5" customHeight="1" x14ac:dyDescent="0.2">
      <c r="B45" s="8"/>
      <c r="C45" s="8"/>
      <c r="D45" s="8"/>
      <c r="E45" s="8"/>
      <c r="F45" s="8"/>
      <c r="G45" s="582"/>
      <c r="H45" s="583"/>
      <c r="I45" s="583"/>
      <c r="J45" s="584"/>
    </row>
    <row r="46" spans="2:10" ht="19.5" customHeight="1" x14ac:dyDescent="0.2">
      <c r="B46" s="8"/>
      <c r="C46" s="8"/>
      <c r="D46" s="8"/>
      <c r="E46" s="8"/>
      <c r="F46" s="8"/>
      <c r="G46" s="582"/>
      <c r="H46" s="583"/>
      <c r="I46" s="583"/>
      <c r="J46" s="584"/>
    </row>
    <row r="47" spans="2:10" ht="19.5" customHeight="1" x14ac:dyDescent="0.2">
      <c r="B47" s="8"/>
      <c r="C47" s="8"/>
      <c r="D47" s="8"/>
      <c r="E47" s="8"/>
      <c r="F47" s="8"/>
      <c r="G47" s="582"/>
      <c r="H47" s="583"/>
      <c r="I47" s="583"/>
      <c r="J47" s="584"/>
    </row>
    <row r="48" spans="2:10" ht="19.5" customHeight="1" x14ac:dyDescent="0.2">
      <c r="B48" s="8"/>
      <c r="C48" s="8"/>
      <c r="D48" s="8"/>
      <c r="E48" s="8"/>
      <c r="F48" s="8"/>
      <c r="G48" s="585"/>
      <c r="H48" s="586"/>
      <c r="I48" s="586"/>
      <c r="J48" s="587"/>
    </row>
    <row r="50" spans="8:10" ht="19.5" customHeight="1" x14ac:dyDescent="0.2">
      <c r="H50" s="588" t="s">
        <v>172</v>
      </c>
      <c r="I50" s="589"/>
      <c r="J50" s="589"/>
    </row>
  </sheetData>
  <sheetProtection sheet="1" formatCells="0" formatColumns="0" formatRows="0" insertColumns="0" insertRows="0" insertHyperlinks="0" deleteColumns="0" deleteRows="0" pivotTables="0"/>
  <mergeCells count="21">
    <mergeCell ref="B7:C7"/>
    <mergeCell ref="D7:J7"/>
    <mergeCell ref="G40:J48"/>
    <mergeCell ref="H50:J50"/>
    <mergeCell ref="B9:J9"/>
    <mergeCell ref="B38:E38"/>
    <mergeCell ref="G38:J38"/>
    <mergeCell ref="B26:E26"/>
    <mergeCell ref="B5:C5"/>
    <mergeCell ref="D5:E5"/>
    <mergeCell ref="F5:G5"/>
    <mergeCell ref="H5:J5"/>
    <mergeCell ref="B6:C6"/>
    <mergeCell ref="D6:E6"/>
    <mergeCell ref="F6:G6"/>
    <mergeCell ref="B2:D2"/>
    <mergeCell ref="E2:J2"/>
    <mergeCell ref="B4:C4"/>
    <mergeCell ref="D4:E4"/>
    <mergeCell ref="F4:G4"/>
    <mergeCell ref="H4:J4"/>
  </mergeCells>
  <conditionalFormatting sqref="C13:G19">
    <cfRule type="cellIs" dxfId="39" priority="1" operator="between">
      <formula>0</formula>
      <formula>0.199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744CC-FDFE-49A8-A217-85480E266AAC}">
  <sheetPr>
    <tabColor theme="9" tint="-0.499984740745262"/>
    <pageSetUpPr fitToPage="1"/>
  </sheetPr>
  <dimension ref="B2:O41"/>
  <sheetViews>
    <sheetView showGridLines="0" topLeftCell="A23" workbookViewId="0">
      <selection activeCell="H29" sqref="H29"/>
    </sheetView>
  </sheetViews>
  <sheetFormatPr defaultColWidth="12.5703125" defaultRowHeight="15.75" customHeight="1" x14ac:dyDescent="0.2"/>
  <cols>
    <col min="1" max="1" width="3.42578125" customWidth="1"/>
    <col min="2" max="2" width="14.140625" customWidth="1"/>
    <col min="3" max="3" width="12.5703125" customWidth="1"/>
    <col min="4" max="4" width="17.28515625" bestFit="1" customWidth="1"/>
    <col min="5" max="9" width="12.5703125" customWidth="1"/>
    <col min="10" max="10" width="36.28515625" customWidth="1"/>
    <col min="11" max="20" width="7.5703125" customWidth="1"/>
  </cols>
  <sheetData>
    <row r="2" spans="2:10" ht="55.5" customHeight="1" x14ac:dyDescent="0.2">
      <c r="B2" s="670"/>
      <c r="C2" s="671"/>
      <c r="D2" s="672"/>
      <c r="E2" s="673" t="s">
        <v>213</v>
      </c>
      <c r="F2" s="671"/>
      <c r="G2" s="671"/>
      <c r="H2" s="671"/>
      <c r="I2" s="671"/>
      <c r="J2" s="672"/>
    </row>
    <row r="3" spans="2:10" ht="22.5" customHeight="1" x14ac:dyDescent="0.2">
      <c r="B3" s="46"/>
      <c r="C3" s="46"/>
      <c r="D3" s="47"/>
      <c r="E3" s="47"/>
      <c r="F3" s="47"/>
      <c r="G3" s="47"/>
      <c r="H3" s="47"/>
      <c r="I3" s="47"/>
    </row>
    <row r="4" spans="2:10" ht="42" customHeight="1" x14ac:dyDescent="0.2">
      <c r="B4" s="594" t="s">
        <v>214</v>
      </c>
      <c r="C4" s="596"/>
      <c r="D4" s="674" t="str">
        <f>Índex!B37</f>
        <v>PC3.01_Ind04.</v>
      </c>
      <c r="E4" s="672"/>
      <c r="F4" s="594" t="s">
        <v>215</v>
      </c>
      <c r="G4" s="596"/>
      <c r="H4" s="674" t="str">
        <f>Índex!C37</f>
        <v>Taxa de rendiment de nou accés per Grau</v>
      </c>
      <c r="I4" s="671"/>
      <c r="J4" s="672"/>
    </row>
    <row r="5" spans="2:10" ht="22.5" customHeight="1" x14ac:dyDescent="0.2">
      <c r="B5" s="594" t="s">
        <v>216</v>
      </c>
      <c r="C5" s="596"/>
      <c r="D5" s="789">
        <f>Índex!F37</f>
        <v>0.7</v>
      </c>
      <c r="E5" s="790"/>
      <c r="F5" s="732" t="s">
        <v>217</v>
      </c>
      <c r="G5" s="596"/>
      <c r="H5" s="775" t="s">
        <v>241</v>
      </c>
      <c r="I5" s="671"/>
      <c r="J5" s="636"/>
    </row>
    <row r="6" spans="2:10" ht="22.5" customHeight="1" x14ac:dyDescent="0.2">
      <c r="B6" s="594" t="s">
        <v>219</v>
      </c>
      <c r="C6" s="596"/>
      <c r="D6" s="674" t="s">
        <v>220</v>
      </c>
      <c r="E6" s="672"/>
      <c r="F6" s="594" t="s">
        <v>242</v>
      </c>
      <c r="G6" s="596"/>
      <c r="H6" s="12" t="str">
        <f>Índex!E37</f>
        <v xml:space="preserve">Gestor Acadèmic </v>
      </c>
      <c r="J6" s="19"/>
    </row>
    <row r="7" spans="2:10" ht="22.5" customHeight="1" x14ac:dyDescent="0.2">
      <c r="B7" s="594" t="s">
        <v>222</v>
      </c>
      <c r="C7" s="596"/>
      <c r="D7" s="674" t="str">
        <f>Índex!G37</f>
        <v>PC3.01. Accés a Estudis i Perfils d’Ingrés</v>
      </c>
      <c r="E7" s="671"/>
      <c r="F7" s="671"/>
      <c r="G7" s="671"/>
      <c r="H7" s="671"/>
      <c r="I7" s="671"/>
      <c r="J7" s="642"/>
    </row>
    <row r="8" spans="2:10" ht="7.5" customHeight="1" x14ac:dyDescent="0.2"/>
    <row r="9" spans="2:10" ht="22.5" customHeight="1" x14ac:dyDescent="0.2">
      <c r="B9" s="594" t="s">
        <v>223</v>
      </c>
      <c r="C9" s="595"/>
      <c r="D9" s="595"/>
      <c r="E9" s="595"/>
      <c r="F9" s="595"/>
      <c r="G9" s="595"/>
      <c r="H9" s="595"/>
      <c r="I9" s="595"/>
      <c r="J9" s="596"/>
    </row>
    <row r="10" spans="2:10" ht="22.5" customHeight="1" x14ac:dyDescent="0.2">
      <c r="B10" s="14"/>
      <c r="C10" s="13"/>
      <c r="D10" s="13"/>
      <c r="E10" s="13"/>
      <c r="F10" s="13"/>
      <c r="G10" s="13"/>
      <c r="H10" s="13"/>
      <c r="I10" s="13"/>
      <c r="J10" s="13"/>
    </row>
    <row r="11" spans="2:10" ht="22.5" customHeight="1" x14ac:dyDescent="0.2"/>
    <row r="12" spans="2:10" ht="22.5" customHeight="1" x14ac:dyDescent="0.2">
      <c r="B12" s="16"/>
      <c r="C12" s="16"/>
      <c r="D12" s="94" t="s">
        <v>224</v>
      </c>
      <c r="E12" s="94" t="s">
        <v>225</v>
      </c>
      <c r="F12" s="94" t="s">
        <v>226</v>
      </c>
      <c r="G12" s="94" t="s">
        <v>227</v>
      </c>
      <c r="H12" s="94" t="s">
        <v>228</v>
      </c>
      <c r="I12" s="94" t="s">
        <v>229</v>
      </c>
    </row>
    <row r="13" spans="2:10" ht="41.25" customHeight="1" x14ac:dyDescent="0.2">
      <c r="B13" s="695" t="s">
        <v>244</v>
      </c>
      <c r="C13" s="695"/>
      <c r="D13" s="97">
        <v>0.84</v>
      </c>
      <c r="E13" s="97">
        <v>0.8</v>
      </c>
      <c r="F13" s="97">
        <v>0.95</v>
      </c>
      <c r="G13" s="97">
        <v>0.8</v>
      </c>
      <c r="H13" s="97">
        <v>0.86909999999999998</v>
      </c>
      <c r="I13" s="97">
        <v>0.85</v>
      </c>
      <c r="J13" s="126"/>
    </row>
    <row r="14" spans="2:10" ht="41.25" customHeight="1" x14ac:dyDescent="0.2">
      <c r="B14" s="695" t="s">
        <v>343</v>
      </c>
      <c r="C14" s="695"/>
      <c r="D14" s="97">
        <v>0.84</v>
      </c>
      <c r="E14" s="97">
        <v>0.92</v>
      </c>
      <c r="F14" s="97">
        <v>0.94</v>
      </c>
      <c r="G14" s="97">
        <v>0.83</v>
      </c>
      <c r="H14" s="97">
        <v>0.9</v>
      </c>
      <c r="I14" s="97">
        <v>0.87</v>
      </c>
      <c r="J14" s="126"/>
    </row>
    <row r="15" spans="2:10" ht="41.25" customHeight="1" x14ac:dyDescent="0.2">
      <c r="B15" s="695" t="s">
        <v>293</v>
      </c>
      <c r="C15" s="695"/>
      <c r="D15" s="97">
        <v>0.62</v>
      </c>
      <c r="E15" s="97">
        <v>0.7</v>
      </c>
      <c r="F15" s="97">
        <v>0.66</v>
      </c>
      <c r="G15" s="97">
        <v>0.69</v>
      </c>
      <c r="H15" s="97">
        <v>0.67849999999999999</v>
      </c>
      <c r="I15" s="97">
        <v>0.79</v>
      </c>
      <c r="J15" s="126"/>
    </row>
    <row r="16" spans="2:10" ht="41.25" customHeight="1" x14ac:dyDescent="0.2">
      <c r="B16" s="695" t="s">
        <v>247</v>
      </c>
      <c r="C16" s="695"/>
      <c r="D16" s="97">
        <v>0.82</v>
      </c>
      <c r="E16" s="97">
        <v>0.94</v>
      </c>
      <c r="F16" s="97">
        <v>0.87</v>
      </c>
      <c r="G16" s="97">
        <v>0.88</v>
      </c>
      <c r="H16" s="97">
        <v>0.86529999999999996</v>
      </c>
      <c r="I16" s="97">
        <v>0.85</v>
      </c>
      <c r="J16" s="126"/>
    </row>
    <row r="17" spans="2:15" ht="41.25" customHeight="1" x14ac:dyDescent="0.2">
      <c r="B17" s="695" t="s">
        <v>336</v>
      </c>
      <c r="C17" s="695"/>
      <c r="D17" s="97">
        <v>0.99</v>
      </c>
      <c r="E17" s="97">
        <v>0.89</v>
      </c>
      <c r="F17" s="97">
        <v>0.96</v>
      </c>
      <c r="G17" s="97">
        <v>0.91</v>
      </c>
      <c r="H17" s="97">
        <v>0.86</v>
      </c>
      <c r="I17" s="97">
        <v>0.9</v>
      </c>
      <c r="J17" s="126"/>
      <c r="K17" s="23"/>
      <c r="L17" s="28"/>
      <c r="M17" s="28"/>
    </row>
    <row r="18" spans="2:15" ht="41.25" customHeight="1" x14ac:dyDescent="0.2">
      <c r="B18" s="751" t="s">
        <v>337</v>
      </c>
      <c r="C18" s="756"/>
      <c r="D18" s="97">
        <v>0.96</v>
      </c>
      <c r="E18" s="97">
        <v>0.85</v>
      </c>
      <c r="F18" s="97">
        <v>1</v>
      </c>
      <c r="G18" s="97">
        <v>0.92</v>
      </c>
      <c r="H18" s="97">
        <v>0.93</v>
      </c>
      <c r="I18" s="97">
        <v>0.87</v>
      </c>
      <c r="J18" s="126"/>
      <c r="K18" s="23"/>
      <c r="L18" s="28"/>
      <c r="M18" s="28"/>
    </row>
    <row r="19" spans="2:15" ht="41.25" customHeight="1" x14ac:dyDescent="0.2">
      <c r="B19" s="695" t="s">
        <v>250</v>
      </c>
      <c r="C19" s="695"/>
      <c r="D19" s="97">
        <v>0.49</v>
      </c>
      <c r="E19" s="97">
        <v>0.49</v>
      </c>
      <c r="F19" s="97">
        <v>0.54</v>
      </c>
      <c r="G19" s="124">
        <v>0.44</v>
      </c>
      <c r="H19" s="205">
        <v>0.69310000000000005</v>
      </c>
      <c r="I19" s="205">
        <v>0.37</v>
      </c>
      <c r="J19" s="126"/>
      <c r="K19" s="23"/>
      <c r="L19" s="28"/>
      <c r="M19" s="28"/>
    </row>
    <row r="20" spans="2:15" ht="41.25" customHeight="1" x14ac:dyDescent="0.2">
      <c r="B20" s="695" t="s">
        <v>350</v>
      </c>
      <c r="C20" s="695"/>
      <c r="D20" s="37" t="s">
        <v>296</v>
      </c>
      <c r="E20" s="97">
        <v>0.7</v>
      </c>
      <c r="F20" s="97">
        <v>0.86</v>
      </c>
      <c r="G20" s="97">
        <v>0.88</v>
      </c>
      <c r="H20" s="97">
        <v>0.88939999999999997</v>
      </c>
      <c r="I20" s="97">
        <v>0.86</v>
      </c>
      <c r="J20" s="126"/>
      <c r="K20" s="23"/>
      <c r="L20" s="28"/>
      <c r="M20" s="28"/>
    </row>
    <row r="21" spans="2:15" ht="41.25" customHeight="1" x14ac:dyDescent="0.2">
      <c r="B21" s="695" t="s">
        <v>252</v>
      </c>
      <c r="C21" s="695"/>
      <c r="D21" s="97">
        <v>0.66</v>
      </c>
      <c r="E21" s="97">
        <v>0.8</v>
      </c>
      <c r="F21" s="97">
        <v>0.74</v>
      </c>
      <c r="G21" s="97">
        <v>0.78</v>
      </c>
      <c r="H21" s="97">
        <v>0.73199999999999998</v>
      </c>
      <c r="I21" s="97">
        <v>0.71</v>
      </c>
      <c r="J21" s="29"/>
    </row>
    <row r="22" spans="2:15" ht="41.25" customHeight="1" x14ac:dyDescent="0.2">
      <c r="B22" s="695" t="s">
        <v>253</v>
      </c>
      <c r="C22" s="695"/>
      <c r="D22" s="97">
        <v>0.82</v>
      </c>
      <c r="E22" s="97">
        <v>0.65</v>
      </c>
      <c r="F22" s="97">
        <v>0.79</v>
      </c>
      <c r="G22" s="97">
        <v>0.77</v>
      </c>
      <c r="H22" s="97">
        <v>0.81359999999999999</v>
      </c>
      <c r="I22" s="97">
        <v>0.81</v>
      </c>
      <c r="J22" s="30"/>
      <c r="K22" s="55"/>
      <c r="L22" s="55"/>
      <c r="M22" s="55"/>
      <c r="N22" s="55"/>
      <c r="O22" s="55"/>
    </row>
    <row r="23" spans="2:15" ht="41.25" customHeight="1" x14ac:dyDescent="0.2">
      <c r="B23" s="695" t="s">
        <v>254</v>
      </c>
      <c r="C23" s="695"/>
      <c r="D23" s="97">
        <v>0.68</v>
      </c>
      <c r="E23" s="97">
        <v>0.72</v>
      </c>
      <c r="F23" s="97">
        <v>0.78</v>
      </c>
      <c r="G23" s="97">
        <v>0.77</v>
      </c>
      <c r="H23" s="97">
        <v>0.80940000000000001</v>
      </c>
      <c r="I23" s="97">
        <v>0.72</v>
      </c>
      <c r="J23" s="30"/>
      <c r="K23" s="55"/>
      <c r="L23" s="55"/>
      <c r="M23" s="55"/>
      <c r="N23" s="55"/>
      <c r="O23" s="55"/>
    </row>
    <row r="24" spans="2:15" ht="22.5" customHeight="1" x14ac:dyDescent="0.25">
      <c r="B24" s="796">
        <f>D5</f>
        <v>0.7</v>
      </c>
      <c r="C24" s="797"/>
      <c r="D24" s="58">
        <f>COUNTIF(D13:D23,"&gt;=70%")</f>
        <v>6</v>
      </c>
      <c r="E24" s="58">
        <f t="shared" ref="E24:G24" si="0">COUNTIF(E13:E23,"&gt;=70%")</f>
        <v>9</v>
      </c>
      <c r="F24" s="58">
        <f t="shared" si="0"/>
        <v>9</v>
      </c>
      <c r="G24" s="58">
        <f t="shared" si="0"/>
        <v>9</v>
      </c>
      <c r="H24" s="58">
        <f>COUNTIF(H13:H23,"&gt;=70%")</f>
        <v>9</v>
      </c>
      <c r="I24" s="58">
        <f>COUNTIF(I13:I23,"&gt;=70%")</f>
        <v>10</v>
      </c>
    </row>
    <row r="25" spans="2:15" ht="22.5" customHeight="1" x14ac:dyDescent="0.25">
      <c r="B25" s="689" t="s">
        <v>274</v>
      </c>
      <c r="C25" s="689"/>
      <c r="D25" s="113">
        <f t="shared" ref="D25:I25" si="1">COUNT(D13:D23)</f>
        <v>10</v>
      </c>
      <c r="E25" s="113">
        <f t="shared" si="1"/>
        <v>11</v>
      </c>
      <c r="F25" s="113">
        <f t="shared" si="1"/>
        <v>11</v>
      </c>
      <c r="G25" s="113">
        <f t="shared" si="1"/>
        <v>11</v>
      </c>
      <c r="H25" s="113">
        <f t="shared" si="1"/>
        <v>11</v>
      </c>
      <c r="I25" s="113">
        <f t="shared" si="1"/>
        <v>11</v>
      </c>
    </row>
    <row r="26" spans="2:15" ht="22.5" customHeight="1" x14ac:dyDescent="0.2">
      <c r="B26" s="685" t="s">
        <v>231</v>
      </c>
      <c r="C26" s="735"/>
      <c r="D26" s="124">
        <f>$D5</f>
        <v>0.7</v>
      </c>
      <c r="E26" s="124">
        <f t="shared" ref="E26:G26" si="2">$D5</f>
        <v>0.7</v>
      </c>
      <c r="F26" s="124">
        <f t="shared" si="2"/>
        <v>0.7</v>
      </c>
      <c r="G26" s="124">
        <f t="shared" si="2"/>
        <v>0.7</v>
      </c>
      <c r="H26" s="124">
        <f>$D5</f>
        <v>0.7</v>
      </c>
      <c r="I26" s="124">
        <f>$D5</f>
        <v>0.7</v>
      </c>
    </row>
    <row r="27" spans="2:15" ht="22.5" customHeight="1" x14ac:dyDescent="0.2">
      <c r="B27" s="685" t="s">
        <v>232</v>
      </c>
      <c r="C27" s="735"/>
      <c r="D27" s="59">
        <f t="shared" ref="D27:I27" si="3">D24/D25</f>
        <v>0.6</v>
      </c>
      <c r="E27" s="59">
        <f t="shared" si="3"/>
        <v>0.81818181818181823</v>
      </c>
      <c r="F27" s="59">
        <f t="shared" si="3"/>
        <v>0.81818181818181823</v>
      </c>
      <c r="G27" s="59">
        <f t="shared" si="3"/>
        <v>0.81818181818181823</v>
      </c>
      <c r="H27" s="59">
        <f t="shared" si="3"/>
        <v>0.81818181818181823</v>
      </c>
      <c r="I27" s="59">
        <f t="shared" si="3"/>
        <v>0.90909090909090906</v>
      </c>
    </row>
    <row r="28" spans="2:15" ht="22.5" customHeight="1" x14ac:dyDescent="0.25">
      <c r="B28" s="7"/>
      <c r="C28" s="7"/>
      <c r="D28" s="6"/>
      <c r="E28" s="6"/>
      <c r="F28" s="6"/>
      <c r="G28" s="6"/>
      <c r="H28" s="6"/>
      <c r="I28" s="6"/>
      <c r="J28" s="6"/>
    </row>
    <row r="29" spans="2:15" ht="22.5" customHeight="1" x14ac:dyDescent="0.2">
      <c r="B29" s="594" t="s">
        <v>233</v>
      </c>
      <c r="C29" s="595"/>
      <c r="D29" s="595"/>
      <c r="E29" s="596"/>
      <c r="F29" s="8"/>
      <c r="L29" s="594" t="s">
        <v>234</v>
      </c>
      <c r="M29" s="595"/>
      <c r="N29" s="595"/>
      <c r="O29" s="596"/>
    </row>
    <row r="30" spans="2:15" ht="22.5" customHeight="1" x14ac:dyDescent="0.2">
      <c r="B30" s="8"/>
      <c r="C30" s="8"/>
      <c r="D30" s="8"/>
      <c r="E30" s="8"/>
      <c r="F30" s="8"/>
      <c r="L30" s="9"/>
      <c r="M30" s="9"/>
      <c r="N30" s="9"/>
      <c r="O30" s="9"/>
    </row>
    <row r="31" spans="2:15" ht="6" customHeight="1" x14ac:dyDescent="0.2">
      <c r="B31" s="8"/>
      <c r="C31" s="8"/>
      <c r="D31" s="8"/>
      <c r="E31" s="8"/>
      <c r="F31" s="8"/>
      <c r="L31" s="634" t="s">
        <v>409</v>
      </c>
      <c r="M31" s="580"/>
      <c r="N31" s="580"/>
      <c r="O31" s="581"/>
    </row>
    <row r="32" spans="2:15" ht="19.5" customHeight="1" x14ac:dyDescent="0.2">
      <c r="B32" s="8"/>
      <c r="C32" s="8"/>
      <c r="D32" s="8"/>
      <c r="E32" s="8"/>
      <c r="F32" s="8"/>
      <c r="L32" s="582"/>
      <c r="M32" s="583"/>
      <c r="N32" s="583"/>
      <c r="O32" s="584"/>
    </row>
    <row r="33" spans="8:15" ht="19.5" customHeight="1" x14ac:dyDescent="0.2">
      <c r="L33" s="582"/>
      <c r="M33" s="583"/>
      <c r="N33" s="583"/>
      <c r="O33" s="584"/>
    </row>
    <row r="34" spans="8:15" ht="19.5" customHeight="1" x14ac:dyDescent="0.2">
      <c r="L34" s="582"/>
      <c r="M34" s="583"/>
      <c r="N34" s="583"/>
      <c r="O34" s="584"/>
    </row>
    <row r="35" spans="8:15" ht="19.5" customHeight="1" x14ac:dyDescent="0.2">
      <c r="L35" s="582"/>
      <c r="M35" s="583"/>
      <c r="N35" s="583"/>
      <c r="O35" s="584"/>
    </row>
    <row r="36" spans="8:15" ht="19.5" customHeight="1" x14ac:dyDescent="0.2">
      <c r="L36" s="582"/>
      <c r="M36" s="583"/>
      <c r="N36" s="583"/>
      <c r="O36" s="584"/>
    </row>
    <row r="37" spans="8:15" ht="19.5" customHeight="1" x14ac:dyDescent="0.2">
      <c r="L37" s="582"/>
      <c r="M37" s="583"/>
      <c r="N37" s="583"/>
      <c r="O37" s="584"/>
    </row>
    <row r="38" spans="8:15" ht="19.5" customHeight="1" x14ac:dyDescent="0.2">
      <c r="L38" s="582"/>
      <c r="M38" s="583"/>
      <c r="N38" s="583"/>
      <c r="O38" s="584"/>
    </row>
    <row r="39" spans="8:15" ht="19.5" customHeight="1" x14ac:dyDescent="0.2">
      <c r="L39" s="585"/>
      <c r="M39" s="586"/>
      <c r="N39" s="586"/>
      <c r="O39" s="587"/>
    </row>
    <row r="40" spans="8:15" ht="19.5" customHeight="1" x14ac:dyDescent="0.2"/>
    <row r="41" spans="8:15" ht="19.5" customHeight="1" x14ac:dyDescent="0.2">
      <c r="H41" s="588" t="s">
        <v>172</v>
      </c>
      <c r="I41" s="589"/>
      <c r="J41" s="589"/>
    </row>
  </sheetData>
  <sheetProtection algorithmName="SHA-512" hashValue="wQYjSBoSgs8a/W8s9HEsYJMIkYpXiMTGxcEbW43chHIPe+kMXfcQHP6DpLbFSJw8ok1T5gtLpyGsaJa1ZbFn4A==" saltValue="dZJMV0+PiR6+wqpQrV1eGQ==" spinCount="100000" sheet="1" formatCells="0" formatColumns="0" formatRows="0" insertColumns="0" insertRows="0" insertHyperlinks="0" deleteColumns="0" deleteRows="0" pivotTables="0"/>
  <mergeCells count="35">
    <mergeCell ref="B2:D2"/>
    <mergeCell ref="E2:J2"/>
    <mergeCell ref="B4:C4"/>
    <mergeCell ref="D4:E4"/>
    <mergeCell ref="F4:G4"/>
    <mergeCell ref="H4:J4"/>
    <mergeCell ref="B7:C7"/>
    <mergeCell ref="D7:J7"/>
    <mergeCell ref="B5:C5"/>
    <mergeCell ref="D5:E5"/>
    <mergeCell ref="F5:G5"/>
    <mergeCell ref="H5:J5"/>
    <mergeCell ref="B6:C6"/>
    <mergeCell ref="D6:E6"/>
    <mergeCell ref="F6:G6"/>
    <mergeCell ref="L29:O29"/>
    <mergeCell ref="L31:O39"/>
    <mergeCell ref="B24:C24"/>
    <mergeCell ref="B9:J9"/>
    <mergeCell ref="B13:C13"/>
    <mergeCell ref="B14:C14"/>
    <mergeCell ref="B15:C15"/>
    <mergeCell ref="B16:C16"/>
    <mergeCell ref="B17:C17"/>
    <mergeCell ref="B19:C19"/>
    <mergeCell ref="B20:C20"/>
    <mergeCell ref="B21:C21"/>
    <mergeCell ref="B22:C22"/>
    <mergeCell ref="B23:C23"/>
    <mergeCell ref="B18:C18"/>
    <mergeCell ref="H41:J41"/>
    <mergeCell ref="B25:C25"/>
    <mergeCell ref="B26:C26"/>
    <mergeCell ref="B27:C27"/>
    <mergeCell ref="B29:E29"/>
  </mergeCells>
  <conditionalFormatting sqref="D13:I23">
    <cfRule type="cellIs" dxfId="38" priority="1" operator="lessThan">
      <formula>0.7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70A98-DD26-4DC9-A6C8-3323C5CF61E7}">
  <sheetPr>
    <tabColor theme="9" tint="-0.499984740745262"/>
    <pageSetUpPr fitToPage="1"/>
  </sheetPr>
  <dimension ref="B2:O31"/>
  <sheetViews>
    <sheetView showGridLines="0" topLeftCell="A24" workbookViewId="0">
      <selection activeCell="J30" sqref="J30"/>
    </sheetView>
  </sheetViews>
  <sheetFormatPr defaultColWidth="12.5703125" defaultRowHeight="15.75" customHeight="1" x14ac:dyDescent="0.2"/>
  <cols>
    <col min="1" max="1" width="3.42578125" customWidth="1"/>
    <col min="2" max="2" width="14.140625" customWidth="1"/>
    <col min="3" max="3" width="12.5703125" customWidth="1"/>
    <col min="4" max="4" width="17.28515625" bestFit="1" customWidth="1"/>
    <col min="5" max="9" width="12.5703125" customWidth="1"/>
    <col min="10" max="10" width="36.28515625" customWidth="1"/>
    <col min="11" max="20" width="7.5703125" customWidth="1"/>
  </cols>
  <sheetData>
    <row r="2" spans="2:10" ht="55.5" customHeight="1" x14ac:dyDescent="0.2">
      <c r="B2" s="670"/>
      <c r="C2" s="671"/>
      <c r="D2" s="672"/>
      <c r="E2" s="673" t="s">
        <v>213</v>
      </c>
      <c r="F2" s="671"/>
      <c r="G2" s="671"/>
      <c r="H2" s="671"/>
      <c r="I2" s="671"/>
      <c r="J2" s="672"/>
    </row>
    <row r="3" spans="2:10" ht="22.5" customHeight="1" x14ac:dyDescent="0.2">
      <c r="B3" s="46"/>
      <c r="C3" s="46"/>
      <c r="D3" s="47"/>
      <c r="E3" s="47"/>
      <c r="F3" s="47"/>
      <c r="G3" s="47"/>
      <c r="H3" s="47"/>
      <c r="I3" s="47"/>
    </row>
    <row r="4" spans="2:10" ht="42" customHeight="1" x14ac:dyDescent="0.2">
      <c r="B4" s="594" t="s">
        <v>214</v>
      </c>
      <c r="C4" s="596"/>
      <c r="D4" s="674" t="str">
        <f>Índex!B38</f>
        <v>PC3.01_Ind05.</v>
      </c>
      <c r="E4" s="672"/>
      <c r="F4" s="594" t="s">
        <v>215</v>
      </c>
      <c r="G4" s="596"/>
      <c r="H4" s="674" t="str">
        <f>Índex!C38</f>
        <v>Evolució del número d'alumnat matriculat en els cursos propedèutics (Pla Estratègic 2022/2023 a 2023/2024)</v>
      </c>
      <c r="I4" s="671"/>
      <c r="J4" s="672"/>
    </row>
    <row r="5" spans="2:10" ht="22.5" customHeight="1" x14ac:dyDescent="0.2">
      <c r="B5" s="594" t="s">
        <v>216</v>
      </c>
      <c r="C5" s="596"/>
      <c r="D5" s="789">
        <f>Índex!F38</f>
        <v>0.15</v>
      </c>
      <c r="E5" s="790"/>
      <c r="F5" s="732" t="s">
        <v>217</v>
      </c>
      <c r="G5" s="596"/>
      <c r="H5" s="775" t="s">
        <v>236</v>
      </c>
      <c r="I5" s="671"/>
      <c r="J5" s="636"/>
    </row>
    <row r="6" spans="2:10" ht="22.5" customHeight="1" x14ac:dyDescent="0.2">
      <c r="B6" s="594" t="s">
        <v>219</v>
      </c>
      <c r="C6" s="596"/>
      <c r="D6" s="674" t="s">
        <v>220</v>
      </c>
      <c r="E6" s="672"/>
      <c r="F6" s="594" t="s">
        <v>242</v>
      </c>
      <c r="G6" s="596"/>
      <c r="H6" s="442" t="str">
        <f>Índex!E38</f>
        <v xml:space="preserve">Gestor Acadèmic </v>
      </c>
      <c r="I6" s="416"/>
      <c r="J6" s="19"/>
    </row>
    <row r="7" spans="2:10" ht="22.5" customHeight="1" x14ac:dyDescent="0.2">
      <c r="B7" s="594" t="s">
        <v>222</v>
      </c>
      <c r="C7" s="596"/>
      <c r="D7" s="674" t="str">
        <f>Índex!G38</f>
        <v>PC3.01. Accés a Estudis i Perfils d’Ingrés</v>
      </c>
      <c r="E7" s="671"/>
      <c r="F7" s="671"/>
      <c r="G7" s="671"/>
      <c r="H7" s="671"/>
      <c r="I7" s="671"/>
      <c r="J7" s="642"/>
    </row>
    <row r="8" spans="2:10" ht="7.5" customHeight="1" x14ac:dyDescent="0.2"/>
    <row r="9" spans="2:10" ht="22.5" customHeight="1" x14ac:dyDescent="0.2">
      <c r="B9" s="594" t="s">
        <v>223</v>
      </c>
      <c r="C9" s="595"/>
      <c r="D9" s="595"/>
      <c r="E9" s="595"/>
      <c r="F9" s="595"/>
      <c r="G9" s="595"/>
      <c r="H9" s="595"/>
      <c r="I9" s="595"/>
      <c r="J9" s="596"/>
    </row>
    <row r="10" spans="2:10" ht="22.5" customHeight="1" x14ac:dyDescent="0.2">
      <c r="B10" s="14"/>
      <c r="C10" s="13"/>
      <c r="D10" s="13"/>
      <c r="E10" s="13"/>
      <c r="F10" s="13"/>
      <c r="G10" s="13"/>
      <c r="H10" s="13"/>
      <c r="I10" s="13"/>
      <c r="J10" s="13"/>
    </row>
    <row r="11" spans="2:10" ht="22.5" customHeight="1" x14ac:dyDescent="0.2"/>
    <row r="12" spans="2:10" ht="22.5" customHeight="1" x14ac:dyDescent="0.2">
      <c r="B12" s="16"/>
      <c r="C12" s="16"/>
      <c r="D12" s="94" t="s">
        <v>225</v>
      </c>
      <c r="E12" s="94" t="s">
        <v>226</v>
      </c>
      <c r="F12" s="94" t="s">
        <v>227</v>
      </c>
      <c r="G12" s="94" t="s">
        <v>228</v>
      </c>
      <c r="H12" s="94" t="s">
        <v>229</v>
      </c>
      <c r="I12" s="24"/>
    </row>
    <row r="13" spans="2:10" ht="41.25" customHeight="1" x14ac:dyDescent="0.2">
      <c r="B13" s="695" t="s">
        <v>410</v>
      </c>
      <c r="C13" s="695"/>
      <c r="D13" s="97" t="s">
        <v>317</v>
      </c>
      <c r="E13" s="97" t="s">
        <v>317</v>
      </c>
      <c r="F13" s="96">
        <v>58</v>
      </c>
      <c r="G13" s="96">
        <v>78</v>
      </c>
      <c r="H13" s="96">
        <v>77</v>
      </c>
      <c r="I13" s="18"/>
      <c r="J13" s="126"/>
    </row>
    <row r="14" spans="2:10" ht="22.5" customHeight="1" x14ac:dyDescent="0.25">
      <c r="B14" s="799" t="s">
        <v>411</v>
      </c>
      <c r="C14" s="799"/>
      <c r="D14" s="202" t="s">
        <v>237</v>
      </c>
      <c r="E14" s="202" t="s">
        <v>317</v>
      </c>
      <c r="F14" s="202" t="s">
        <v>317</v>
      </c>
      <c r="G14" s="202">
        <v>58</v>
      </c>
      <c r="H14" s="202">
        <v>78</v>
      </c>
    </row>
    <row r="15" spans="2:10" ht="22.5" customHeight="1" x14ac:dyDescent="0.2">
      <c r="B15" s="685" t="s">
        <v>231</v>
      </c>
      <c r="C15" s="735"/>
      <c r="D15" s="124">
        <f t="shared" ref="D15:F15" si="0">$D5</f>
        <v>0.15</v>
      </c>
      <c r="E15" s="124">
        <f t="shared" si="0"/>
        <v>0.15</v>
      </c>
      <c r="F15" s="124">
        <f t="shared" si="0"/>
        <v>0.15</v>
      </c>
      <c r="G15" s="124">
        <f>$D5</f>
        <v>0.15</v>
      </c>
      <c r="H15" s="124">
        <f>$D5</f>
        <v>0.15</v>
      </c>
      <c r="I15" s="25"/>
    </row>
    <row r="16" spans="2:10" ht="22.5" customHeight="1" x14ac:dyDescent="0.2">
      <c r="B16" s="798" t="s">
        <v>412</v>
      </c>
      <c r="C16" s="735"/>
      <c r="D16" s="59" t="s">
        <v>237</v>
      </c>
      <c r="E16" s="59" t="s">
        <v>237</v>
      </c>
      <c r="F16" s="203" t="s">
        <v>237</v>
      </c>
      <c r="G16" s="204">
        <f>(G13-G14)/G14*100</f>
        <v>34.482758620689658</v>
      </c>
      <c r="H16" s="204">
        <f>(H13-H14)/H14*100</f>
        <v>-1.2820512820512819</v>
      </c>
      <c r="I16" s="26"/>
    </row>
    <row r="19" spans="2:15" ht="22.5" customHeight="1" x14ac:dyDescent="0.2">
      <c r="B19" s="594" t="s">
        <v>233</v>
      </c>
      <c r="C19" s="595"/>
      <c r="D19" s="595"/>
      <c r="E19" s="596"/>
      <c r="F19" s="8"/>
      <c r="L19" s="594" t="s">
        <v>234</v>
      </c>
      <c r="M19" s="595"/>
      <c r="N19" s="595"/>
      <c r="O19" s="596"/>
    </row>
    <row r="20" spans="2:15" ht="22.5" customHeight="1" x14ac:dyDescent="0.2">
      <c r="B20" s="8"/>
      <c r="C20" s="8"/>
      <c r="D20" s="8"/>
      <c r="E20" s="8"/>
      <c r="F20" s="8"/>
      <c r="L20" s="9"/>
      <c r="M20" s="9"/>
      <c r="N20" s="9"/>
      <c r="O20" s="9"/>
    </row>
    <row r="21" spans="2:15" ht="6" customHeight="1" x14ac:dyDescent="0.2">
      <c r="B21" s="8"/>
      <c r="C21" s="8"/>
      <c r="D21" s="8"/>
      <c r="E21" s="8"/>
      <c r="F21" s="8"/>
      <c r="L21" s="634" t="s">
        <v>409</v>
      </c>
      <c r="M21" s="580"/>
      <c r="N21" s="580"/>
      <c r="O21" s="581"/>
    </row>
    <row r="22" spans="2:15" ht="19.5" customHeight="1" x14ac:dyDescent="0.2">
      <c r="B22" s="8"/>
      <c r="C22" s="8"/>
      <c r="D22" s="8"/>
      <c r="E22" s="8"/>
      <c r="F22" s="8"/>
      <c r="L22" s="582"/>
      <c r="M22" s="583"/>
      <c r="N22" s="583"/>
      <c r="O22" s="584"/>
    </row>
    <row r="23" spans="2:15" ht="19.5" customHeight="1" x14ac:dyDescent="0.2">
      <c r="B23" s="8"/>
      <c r="C23" s="8"/>
      <c r="D23" s="8"/>
      <c r="E23" s="8"/>
      <c r="F23" s="8"/>
      <c r="L23" s="582"/>
      <c r="M23" s="583"/>
      <c r="N23" s="583"/>
      <c r="O23" s="584"/>
    </row>
    <row r="24" spans="2:15" ht="19.5" customHeight="1" x14ac:dyDescent="0.2">
      <c r="B24" s="8"/>
      <c r="C24" s="8"/>
      <c r="D24" s="8"/>
      <c r="E24" s="8"/>
      <c r="F24" s="8"/>
      <c r="L24" s="582"/>
      <c r="M24" s="583"/>
      <c r="N24" s="583"/>
      <c r="O24" s="584"/>
    </row>
    <row r="25" spans="2:15" ht="19.5" customHeight="1" x14ac:dyDescent="0.2">
      <c r="B25" s="8"/>
      <c r="C25" s="8"/>
      <c r="D25" s="8"/>
      <c r="E25" s="8"/>
      <c r="F25" s="8"/>
      <c r="L25" s="582"/>
      <c r="M25" s="583"/>
      <c r="N25" s="583"/>
      <c r="O25" s="584"/>
    </row>
    <row r="26" spans="2:15" ht="19.5" customHeight="1" x14ac:dyDescent="0.2">
      <c r="B26" s="8"/>
      <c r="C26" s="8"/>
      <c r="D26" s="8"/>
      <c r="E26" s="8"/>
      <c r="F26" s="8"/>
      <c r="L26" s="582"/>
      <c r="M26" s="583"/>
      <c r="N26" s="583"/>
      <c r="O26" s="584"/>
    </row>
    <row r="27" spans="2:15" ht="19.5" customHeight="1" x14ac:dyDescent="0.2">
      <c r="B27" s="8"/>
      <c r="C27" s="8"/>
      <c r="D27" s="8"/>
      <c r="E27" s="8"/>
      <c r="F27" s="8"/>
      <c r="L27" s="582"/>
      <c r="M27" s="583"/>
      <c r="N27" s="583"/>
      <c r="O27" s="584"/>
    </row>
    <row r="28" spans="2:15" ht="19.5" customHeight="1" x14ac:dyDescent="0.2">
      <c r="B28" s="8"/>
      <c r="C28" s="8"/>
      <c r="D28" s="8"/>
      <c r="E28" s="8"/>
      <c r="F28" s="8"/>
      <c r="L28" s="582"/>
      <c r="M28" s="583"/>
      <c r="N28" s="583"/>
      <c r="O28" s="584"/>
    </row>
    <row r="29" spans="2:15" ht="19.5" customHeight="1" x14ac:dyDescent="0.2">
      <c r="B29" s="8"/>
      <c r="C29" s="8"/>
      <c r="D29" s="8"/>
      <c r="E29" s="8"/>
      <c r="F29" s="8"/>
      <c r="L29" s="585"/>
      <c r="M29" s="586"/>
      <c r="N29" s="586"/>
      <c r="O29" s="587"/>
    </row>
    <row r="30" spans="2:15" ht="19.5" customHeight="1" x14ac:dyDescent="0.2"/>
    <row r="31" spans="2:15" ht="19.5" customHeight="1" x14ac:dyDescent="0.2">
      <c r="H31" s="588" t="s">
        <v>172</v>
      </c>
      <c r="I31" s="589"/>
      <c r="J31" s="589"/>
    </row>
  </sheetData>
  <sheetProtection sheet="1" formatCells="0" formatColumns="0" formatRows="0" insertColumns="0" insertRows="0" insertHyperlinks="0" deleteColumns="0" deleteRows="0" pivotTables="0"/>
  <mergeCells count="24">
    <mergeCell ref="H5:J5"/>
    <mergeCell ref="B6:C6"/>
    <mergeCell ref="L19:O19"/>
    <mergeCell ref="L21:O29"/>
    <mergeCell ref="B14:C14"/>
    <mergeCell ref="B7:C7"/>
    <mergeCell ref="D7:J7"/>
    <mergeCell ref="B9:J9"/>
    <mergeCell ref="B13:C13"/>
    <mergeCell ref="B5:C5"/>
    <mergeCell ref="D5:E5"/>
    <mergeCell ref="F5:G5"/>
    <mergeCell ref="B2:D2"/>
    <mergeCell ref="E2:J2"/>
    <mergeCell ref="B4:C4"/>
    <mergeCell ref="D4:E4"/>
    <mergeCell ref="F4:G4"/>
    <mergeCell ref="H4:J4"/>
    <mergeCell ref="H31:J31"/>
    <mergeCell ref="B15:C15"/>
    <mergeCell ref="B16:C16"/>
    <mergeCell ref="D6:E6"/>
    <mergeCell ref="F6:G6"/>
    <mergeCell ref="B19:E19"/>
  </mergeCells>
  <conditionalFormatting sqref="D13:H13">
    <cfRule type="cellIs" dxfId="37" priority="1" operator="between">
      <formula>0</formula>
      <formula>0.63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3502A-E575-473B-B953-CFAD7CAF91E5}">
  <sheetPr>
    <tabColor theme="9" tint="-0.499984740745262"/>
    <pageSetUpPr fitToPage="1"/>
  </sheetPr>
  <dimension ref="B2:N42"/>
  <sheetViews>
    <sheetView showGridLines="0" topLeftCell="A28" workbookViewId="0">
      <selection activeCell="J38" sqref="J38"/>
    </sheetView>
  </sheetViews>
  <sheetFormatPr defaultColWidth="12.5703125" defaultRowHeight="15.75" customHeight="1" x14ac:dyDescent="0.2"/>
  <cols>
    <col min="1" max="1" width="3.42578125" customWidth="1"/>
    <col min="2" max="2" width="14.140625" customWidth="1"/>
    <col min="3" max="3" width="12.5703125" customWidth="1"/>
    <col min="4" max="4" width="17.28515625" bestFit="1" customWidth="1"/>
    <col min="5" max="9" width="12.5703125" customWidth="1"/>
    <col min="10" max="10" width="36.28515625" customWidth="1"/>
    <col min="11" max="20" width="7.5703125" customWidth="1"/>
  </cols>
  <sheetData>
    <row r="2" spans="2:10" ht="55.5" customHeight="1" x14ac:dyDescent="0.2">
      <c r="B2" s="670"/>
      <c r="C2" s="671"/>
      <c r="D2" s="672"/>
      <c r="E2" s="673" t="s">
        <v>213</v>
      </c>
      <c r="F2" s="671"/>
      <c r="G2" s="671"/>
      <c r="H2" s="671"/>
      <c r="I2" s="671"/>
      <c r="J2" s="672"/>
    </row>
    <row r="3" spans="2:10" ht="22.5" customHeight="1" x14ac:dyDescent="0.2">
      <c r="B3" s="46"/>
      <c r="C3" s="46"/>
      <c r="D3" s="47"/>
      <c r="E3" s="47"/>
      <c r="F3" s="47"/>
      <c r="G3" s="47"/>
      <c r="H3" s="47"/>
      <c r="I3" s="47"/>
    </row>
    <row r="4" spans="2:10" ht="42" customHeight="1" x14ac:dyDescent="0.2">
      <c r="B4" s="594" t="s">
        <v>214</v>
      </c>
      <c r="C4" s="596"/>
      <c r="D4" s="674" t="str">
        <f>Índex!B39</f>
        <v>PC3.02_Ind01.</v>
      </c>
      <c r="E4" s="672"/>
      <c r="F4" s="594" t="s">
        <v>215</v>
      </c>
      <c r="G4" s="596"/>
      <c r="H4" s="674" t="str">
        <f>Índex!C39</f>
        <v xml:space="preserve">Valoració mitjana a l’afirmació “La tutorització ha estat útil i ha contribuït a millorar el meu aprenentatge” per titulació (objectiu ≥3 sobre 5) </v>
      </c>
      <c r="I4" s="671"/>
      <c r="J4" s="672"/>
    </row>
    <row r="5" spans="2:10" ht="22.5" customHeight="1" x14ac:dyDescent="0.2">
      <c r="B5" s="594" t="s">
        <v>216</v>
      </c>
      <c r="C5" s="596"/>
      <c r="D5" s="674" t="str">
        <f>Índex!F39</f>
        <v>≥3</v>
      </c>
      <c r="E5" s="672"/>
      <c r="F5" s="732" t="s">
        <v>217</v>
      </c>
      <c r="G5" s="596"/>
      <c r="H5" s="775" t="s">
        <v>241</v>
      </c>
      <c r="I5" s="671"/>
      <c r="J5" s="636"/>
    </row>
    <row r="6" spans="2:10" ht="22.5" customHeight="1" x14ac:dyDescent="0.2">
      <c r="B6" s="594" t="s">
        <v>219</v>
      </c>
      <c r="C6" s="596"/>
      <c r="D6" s="674" t="s">
        <v>220</v>
      </c>
      <c r="E6" s="672"/>
      <c r="F6" s="594" t="s">
        <v>242</v>
      </c>
      <c r="G6" s="596"/>
      <c r="H6" s="12" t="str">
        <f>Índex!E39</f>
        <v>Gestora de Qualitat</v>
      </c>
      <c r="J6" s="19"/>
    </row>
    <row r="7" spans="2:10" ht="22.5" customHeight="1" x14ac:dyDescent="0.2">
      <c r="B7" s="594" t="s">
        <v>222</v>
      </c>
      <c r="C7" s="596"/>
      <c r="D7" s="674" t="str">
        <f>Índex!G39</f>
        <v>PC3.02. Tutorització de l’Alumnat</v>
      </c>
      <c r="E7" s="671"/>
      <c r="F7" s="671"/>
      <c r="G7" s="671"/>
      <c r="H7" s="671"/>
      <c r="I7" s="671"/>
      <c r="J7" s="672"/>
    </row>
    <row r="8" spans="2:10" ht="7.5" customHeight="1" x14ac:dyDescent="0.2"/>
    <row r="9" spans="2:10" ht="22.5" customHeight="1" x14ac:dyDescent="0.2">
      <c r="B9" s="594" t="s">
        <v>223</v>
      </c>
      <c r="C9" s="595"/>
      <c r="D9" s="595"/>
      <c r="E9" s="595"/>
      <c r="F9" s="595"/>
      <c r="G9" s="595"/>
      <c r="H9" s="595"/>
      <c r="I9" s="595"/>
      <c r="J9" s="596"/>
    </row>
    <row r="10" spans="2:10" ht="22.5" customHeight="1" x14ac:dyDescent="0.2">
      <c r="B10" s="14"/>
      <c r="C10" s="13"/>
      <c r="D10" s="13"/>
      <c r="E10" s="13"/>
      <c r="F10" s="13"/>
      <c r="G10" s="13"/>
      <c r="H10" s="13"/>
      <c r="I10" s="13"/>
      <c r="J10" s="13"/>
    </row>
    <row r="11" spans="2:10" ht="22.5" customHeight="1" x14ac:dyDescent="0.2"/>
    <row r="12" spans="2:10" ht="22.5" customHeight="1" x14ac:dyDescent="0.2">
      <c r="B12" s="16"/>
      <c r="C12" s="16"/>
      <c r="D12" s="110" t="s">
        <v>224</v>
      </c>
      <c r="E12" s="110" t="s">
        <v>225</v>
      </c>
      <c r="F12" s="110" t="s">
        <v>226</v>
      </c>
      <c r="G12" s="110" t="s">
        <v>227</v>
      </c>
      <c r="H12" s="110" t="s">
        <v>228</v>
      </c>
      <c r="I12" s="110" t="s">
        <v>229</v>
      </c>
    </row>
    <row r="13" spans="2:10" ht="41.25" customHeight="1" x14ac:dyDescent="0.3">
      <c r="B13" s="695" t="s">
        <v>244</v>
      </c>
      <c r="C13" s="695"/>
      <c r="D13" s="44">
        <v>3</v>
      </c>
      <c r="E13" s="44" t="s">
        <v>237</v>
      </c>
      <c r="F13" s="44">
        <v>2</v>
      </c>
      <c r="G13" s="44">
        <v>3.4</v>
      </c>
      <c r="H13" s="42">
        <v>2.69</v>
      </c>
      <c r="I13" s="443" t="s">
        <v>260</v>
      </c>
      <c r="J13" s="126"/>
    </row>
    <row r="14" spans="2:10" ht="41.25" customHeight="1" x14ac:dyDescent="0.3">
      <c r="B14" s="695" t="s">
        <v>343</v>
      </c>
      <c r="C14" s="695"/>
      <c r="D14" s="44" t="s">
        <v>237</v>
      </c>
      <c r="E14" s="44" t="s">
        <v>237</v>
      </c>
      <c r="F14" s="44">
        <v>2.6</v>
      </c>
      <c r="G14" s="44">
        <v>3</v>
      </c>
      <c r="H14" s="42" t="s">
        <v>413</v>
      </c>
      <c r="I14" s="443" t="s">
        <v>260</v>
      </c>
      <c r="J14" s="126"/>
    </row>
    <row r="15" spans="2:10" ht="41.25" customHeight="1" x14ac:dyDescent="0.3">
      <c r="B15" s="695" t="s">
        <v>293</v>
      </c>
      <c r="C15" s="695"/>
      <c r="D15" s="44" t="s">
        <v>237</v>
      </c>
      <c r="E15" s="44">
        <v>3.8</v>
      </c>
      <c r="F15" s="44">
        <v>3.5</v>
      </c>
      <c r="G15" s="44">
        <v>3</v>
      </c>
      <c r="H15" s="42">
        <v>2.83</v>
      </c>
      <c r="I15" s="443" t="s">
        <v>260</v>
      </c>
      <c r="J15" s="126"/>
    </row>
    <row r="16" spans="2:10" ht="41.25" customHeight="1" x14ac:dyDescent="0.3">
      <c r="B16" s="695" t="s">
        <v>247</v>
      </c>
      <c r="C16" s="695"/>
      <c r="D16" s="44">
        <v>1.89</v>
      </c>
      <c r="E16" s="44">
        <v>2.4300000000000002</v>
      </c>
      <c r="F16" s="44">
        <v>2.62</v>
      </c>
      <c r="G16" s="27">
        <v>2.5</v>
      </c>
      <c r="H16" s="42">
        <v>2.68</v>
      </c>
      <c r="I16" s="443" t="s">
        <v>260</v>
      </c>
      <c r="J16" s="126"/>
    </row>
    <row r="17" spans="2:14" ht="41.25" customHeight="1" x14ac:dyDescent="0.3">
      <c r="B17" s="695" t="s">
        <v>336</v>
      </c>
      <c r="C17" s="695"/>
      <c r="D17" s="44" t="s">
        <v>237</v>
      </c>
      <c r="E17" s="44" t="s">
        <v>237</v>
      </c>
      <c r="F17" s="44" t="s">
        <v>237</v>
      </c>
      <c r="G17" s="44">
        <v>4</v>
      </c>
      <c r="H17" s="42">
        <v>2.89</v>
      </c>
      <c r="I17" s="443" t="s">
        <v>260</v>
      </c>
      <c r="J17" s="126"/>
      <c r="K17" s="23"/>
      <c r="L17" s="28"/>
      <c r="M17" s="28"/>
    </row>
    <row r="18" spans="2:14" ht="41.25" customHeight="1" x14ac:dyDescent="0.3">
      <c r="B18" s="695" t="s">
        <v>337</v>
      </c>
      <c r="C18" s="695"/>
      <c r="D18" s="44">
        <v>2.5</v>
      </c>
      <c r="E18" s="44">
        <v>3.29</v>
      </c>
      <c r="F18" s="44" t="s">
        <v>237</v>
      </c>
      <c r="G18" s="44">
        <v>3.5</v>
      </c>
      <c r="H18" s="42" t="s">
        <v>414</v>
      </c>
      <c r="I18" s="443" t="s">
        <v>260</v>
      </c>
      <c r="J18" s="126"/>
      <c r="K18" s="23"/>
      <c r="L18" s="28"/>
      <c r="M18" s="28"/>
    </row>
    <row r="19" spans="2:14" ht="41.25" customHeight="1" x14ac:dyDescent="0.3">
      <c r="B19" s="695" t="s">
        <v>250</v>
      </c>
      <c r="C19" s="695"/>
      <c r="D19" s="44">
        <v>3.6</v>
      </c>
      <c r="E19" s="44" t="s">
        <v>237</v>
      </c>
      <c r="F19" s="44" t="s">
        <v>237</v>
      </c>
      <c r="G19" s="44" t="s">
        <v>237</v>
      </c>
      <c r="H19" s="42" t="s">
        <v>415</v>
      </c>
      <c r="I19" s="443" t="s">
        <v>260</v>
      </c>
      <c r="J19" s="126"/>
      <c r="K19" s="23"/>
      <c r="L19" s="28"/>
      <c r="M19" s="28"/>
    </row>
    <row r="20" spans="2:14" ht="41.25" customHeight="1" x14ac:dyDescent="0.3">
      <c r="B20" s="751" t="s">
        <v>416</v>
      </c>
      <c r="C20" s="756"/>
      <c r="D20" s="44" t="s">
        <v>237</v>
      </c>
      <c r="E20" s="44" t="s">
        <v>237</v>
      </c>
      <c r="F20" s="44" t="s">
        <v>237</v>
      </c>
      <c r="G20" s="44" t="s">
        <v>237</v>
      </c>
      <c r="H20" s="42">
        <v>4</v>
      </c>
      <c r="I20" s="443" t="s">
        <v>260</v>
      </c>
      <c r="J20" s="126"/>
      <c r="K20" s="23"/>
      <c r="L20" s="28"/>
      <c r="M20" s="28"/>
    </row>
    <row r="21" spans="2:14" ht="41.25" customHeight="1" x14ac:dyDescent="0.3">
      <c r="B21" s="695" t="s">
        <v>252</v>
      </c>
      <c r="C21" s="695"/>
      <c r="D21" s="44">
        <v>3.3</v>
      </c>
      <c r="E21" s="44">
        <v>3.07</v>
      </c>
      <c r="F21" s="44">
        <v>3.09</v>
      </c>
      <c r="G21" s="44">
        <v>2.4</v>
      </c>
      <c r="H21" s="42" t="s">
        <v>417</v>
      </c>
      <c r="I21" s="443" t="s">
        <v>260</v>
      </c>
      <c r="J21" s="29"/>
    </row>
    <row r="22" spans="2:14" ht="41.25" customHeight="1" x14ac:dyDescent="0.3">
      <c r="B22" s="695" t="s">
        <v>253</v>
      </c>
      <c r="C22" s="695"/>
      <c r="D22" s="44">
        <v>2.82</v>
      </c>
      <c r="E22" s="44">
        <v>2.56</v>
      </c>
      <c r="F22" s="44">
        <v>3.4</v>
      </c>
      <c r="G22" s="44">
        <v>1.5</v>
      </c>
      <c r="H22" s="42" t="s">
        <v>418</v>
      </c>
      <c r="I22" s="443" t="s">
        <v>260</v>
      </c>
      <c r="J22" s="30"/>
      <c r="K22" s="55"/>
      <c r="L22" s="55"/>
      <c r="M22" s="55"/>
      <c r="N22" s="55"/>
    </row>
    <row r="23" spans="2:14" ht="41.25" customHeight="1" x14ac:dyDescent="0.3">
      <c r="B23" s="695" t="s">
        <v>254</v>
      </c>
      <c r="C23" s="695"/>
      <c r="D23" s="44">
        <v>3.23</v>
      </c>
      <c r="E23" s="44">
        <v>3</v>
      </c>
      <c r="F23" s="44">
        <v>3.25</v>
      </c>
      <c r="G23" s="44">
        <v>3.75</v>
      </c>
      <c r="H23" s="42" t="s">
        <v>419</v>
      </c>
      <c r="I23" s="443" t="s">
        <v>260</v>
      </c>
      <c r="J23" s="30"/>
      <c r="K23" s="55"/>
      <c r="L23" s="55"/>
      <c r="M23" s="55"/>
      <c r="N23" s="55"/>
    </row>
    <row r="24" spans="2:14" ht="22.5" customHeight="1" x14ac:dyDescent="0.3">
      <c r="B24" s="800" t="s">
        <v>420</v>
      </c>
      <c r="C24" s="800"/>
      <c r="D24" s="58">
        <f>COUNTIF(D13:D23,"&gt;=3")</f>
        <v>4</v>
      </c>
      <c r="E24" s="58">
        <f t="shared" ref="E24:G24" si="0">COUNTIF(E13:E23,"&gt;=3")</f>
        <v>4</v>
      </c>
      <c r="F24" s="58">
        <f t="shared" si="0"/>
        <v>4</v>
      </c>
      <c r="G24" s="58">
        <f t="shared" si="0"/>
        <v>6</v>
      </c>
      <c r="H24" s="58">
        <v>7</v>
      </c>
      <c r="I24" s="443" t="s">
        <v>260</v>
      </c>
    </row>
    <row r="25" spans="2:14" ht="22.5" customHeight="1" x14ac:dyDescent="0.3">
      <c r="B25" s="723" t="s">
        <v>274</v>
      </c>
      <c r="C25" s="723"/>
      <c r="D25" s="53">
        <f>COUNT(D13:D23)</f>
        <v>7</v>
      </c>
      <c r="E25" s="53">
        <f>COUNT(E13:E23)</f>
        <v>6</v>
      </c>
      <c r="F25" s="53">
        <f>COUNT(F13:F23)</f>
        <v>7</v>
      </c>
      <c r="G25" s="53">
        <f>COUNT(G13:G23)</f>
        <v>9</v>
      </c>
      <c r="H25" s="53">
        <v>11</v>
      </c>
      <c r="I25" s="443" t="s">
        <v>260</v>
      </c>
    </row>
    <row r="26" spans="2:14" ht="22.5" customHeight="1" x14ac:dyDescent="0.2">
      <c r="B26" s="215" t="s">
        <v>231</v>
      </c>
      <c r="C26" s="223" t="str">
        <f>D5</f>
        <v>≥3</v>
      </c>
      <c r="D26" s="61">
        <v>3</v>
      </c>
      <c r="E26" s="61">
        <v>3</v>
      </c>
      <c r="F26" s="61">
        <v>3</v>
      </c>
      <c r="G26" s="61">
        <v>3</v>
      </c>
      <c r="H26" s="61">
        <v>3</v>
      </c>
      <c r="I26" s="61">
        <v>3</v>
      </c>
    </row>
    <row r="27" spans="2:14" ht="22.5" customHeight="1" x14ac:dyDescent="0.3">
      <c r="B27" s="685" t="s">
        <v>232</v>
      </c>
      <c r="C27" s="735"/>
      <c r="D27" s="59">
        <f t="shared" ref="D27:H27" si="1">D24/D25</f>
        <v>0.5714285714285714</v>
      </c>
      <c r="E27" s="59">
        <f t="shared" si="1"/>
        <v>0.66666666666666663</v>
      </c>
      <c r="F27" s="59">
        <f t="shared" si="1"/>
        <v>0.5714285714285714</v>
      </c>
      <c r="G27" s="59">
        <f t="shared" si="1"/>
        <v>0.66666666666666663</v>
      </c>
      <c r="H27" s="59">
        <f t="shared" si="1"/>
        <v>0.63636363636363635</v>
      </c>
      <c r="I27" s="443" t="s">
        <v>260</v>
      </c>
    </row>
    <row r="28" spans="2:14" ht="22.5" customHeight="1" x14ac:dyDescent="0.3">
      <c r="B28" s="224" t="s">
        <v>421</v>
      </c>
      <c r="C28" s="225"/>
      <c r="D28" s="59" t="s">
        <v>237</v>
      </c>
      <c r="E28" s="59" t="s">
        <v>237</v>
      </c>
      <c r="F28" s="59" t="s">
        <v>237</v>
      </c>
      <c r="G28" s="59" t="s">
        <v>237</v>
      </c>
      <c r="H28" s="59">
        <v>0.34379999999999999</v>
      </c>
      <c r="I28" s="443" t="s">
        <v>260</v>
      </c>
    </row>
    <row r="29" spans="2:14" ht="22.5" customHeight="1" x14ac:dyDescent="0.25">
      <c r="B29" s="7"/>
      <c r="C29" s="7"/>
      <c r="D29" s="6"/>
      <c r="E29" s="6"/>
      <c r="F29" s="6"/>
      <c r="G29" s="6"/>
      <c r="H29" s="6"/>
      <c r="I29" s="6"/>
      <c r="J29" s="6"/>
    </row>
    <row r="30" spans="2:14" ht="22.5" customHeight="1" x14ac:dyDescent="0.2">
      <c r="B30" s="594" t="s">
        <v>233</v>
      </c>
      <c r="C30" s="595"/>
      <c r="D30" s="595"/>
      <c r="E30" s="596"/>
      <c r="F30" s="8"/>
      <c r="K30" s="594" t="s">
        <v>234</v>
      </c>
      <c r="L30" s="595"/>
      <c r="M30" s="595"/>
      <c r="N30" s="596"/>
    </row>
    <row r="31" spans="2:14" ht="22.5" customHeight="1" x14ac:dyDescent="0.2">
      <c r="B31" s="8"/>
      <c r="C31" s="8"/>
      <c r="D31" s="8"/>
      <c r="E31" s="8"/>
      <c r="F31" s="8"/>
      <c r="K31" s="9"/>
      <c r="L31" s="9"/>
      <c r="M31" s="9"/>
      <c r="N31" s="9"/>
    </row>
    <row r="32" spans="2:14" ht="6" customHeight="1" x14ac:dyDescent="0.2">
      <c r="B32" s="8"/>
      <c r="C32" s="8"/>
      <c r="D32" s="8"/>
      <c r="E32" s="8"/>
      <c r="F32" s="8"/>
      <c r="K32" s="634" t="s">
        <v>422</v>
      </c>
      <c r="L32" s="580"/>
      <c r="M32" s="580"/>
      <c r="N32" s="581"/>
    </row>
    <row r="33" spans="8:14" ht="19.5" customHeight="1" x14ac:dyDescent="0.2">
      <c r="K33" s="582"/>
      <c r="L33" s="583"/>
      <c r="M33" s="583"/>
      <c r="N33" s="584"/>
    </row>
    <row r="34" spans="8:14" ht="19.5" customHeight="1" x14ac:dyDescent="0.2">
      <c r="K34" s="582"/>
      <c r="L34" s="583"/>
      <c r="M34" s="583"/>
      <c r="N34" s="584"/>
    </row>
    <row r="35" spans="8:14" ht="19.5" customHeight="1" x14ac:dyDescent="0.2">
      <c r="K35" s="582"/>
      <c r="L35" s="583"/>
      <c r="M35" s="583"/>
      <c r="N35" s="584"/>
    </row>
    <row r="36" spans="8:14" ht="19.5" customHeight="1" x14ac:dyDescent="0.2">
      <c r="K36" s="582"/>
      <c r="L36" s="583"/>
      <c r="M36" s="583"/>
      <c r="N36" s="584"/>
    </row>
    <row r="37" spans="8:14" ht="19.5" customHeight="1" x14ac:dyDescent="0.2">
      <c r="K37" s="582"/>
      <c r="L37" s="583"/>
      <c r="M37" s="583"/>
      <c r="N37" s="584"/>
    </row>
    <row r="38" spans="8:14" ht="19.5" customHeight="1" x14ac:dyDescent="0.2">
      <c r="K38" s="582"/>
      <c r="L38" s="583"/>
      <c r="M38" s="583"/>
      <c r="N38" s="584"/>
    </row>
    <row r="39" spans="8:14" ht="19.5" customHeight="1" x14ac:dyDescent="0.2">
      <c r="K39" s="582"/>
      <c r="L39" s="583"/>
      <c r="M39" s="583"/>
      <c r="N39" s="584"/>
    </row>
    <row r="40" spans="8:14" ht="19.5" customHeight="1" x14ac:dyDescent="0.2">
      <c r="K40" s="585"/>
      <c r="L40" s="586"/>
      <c r="M40" s="586"/>
      <c r="N40" s="587"/>
    </row>
    <row r="41" spans="8:14" ht="19.5" customHeight="1" x14ac:dyDescent="0.2"/>
    <row r="42" spans="8:14" ht="19.5" customHeight="1" x14ac:dyDescent="0.2">
      <c r="H42" s="588" t="s">
        <v>172</v>
      </c>
      <c r="I42" s="589"/>
      <c r="J42" s="589"/>
    </row>
  </sheetData>
  <sheetProtection sheet="1" formatCells="0" formatColumns="0" formatRows="0" insertColumns="0" insertRows="0" insertHyperlinks="0" deleteColumns="0" deleteRows="0" pivotTables="0"/>
  <mergeCells count="34">
    <mergeCell ref="B2:D2"/>
    <mergeCell ref="E2:J2"/>
    <mergeCell ref="B4:C4"/>
    <mergeCell ref="D4:E4"/>
    <mergeCell ref="F4:G4"/>
    <mergeCell ref="H4:J4"/>
    <mergeCell ref="B5:C5"/>
    <mergeCell ref="D5:E5"/>
    <mergeCell ref="F5:G5"/>
    <mergeCell ref="H5:J5"/>
    <mergeCell ref="B6:C6"/>
    <mergeCell ref="D6:E6"/>
    <mergeCell ref="F6:G6"/>
    <mergeCell ref="B17:C17"/>
    <mergeCell ref="B7:C7"/>
    <mergeCell ref="D7:J7"/>
    <mergeCell ref="B9:J9"/>
    <mergeCell ref="B13:C13"/>
    <mergeCell ref="B14:C14"/>
    <mergeCell ref="B15:C15"/>
    <mergeCell ref="B16:C16"/>
    <mergeCell ref="K30:N30"/>
    <mergeCell ref="K32:N40"/>
    <mergeCell ref="B19:C19"/>
    <mergeCell ref="B21:C21"/>
    <mergeCell ref="B22:C22"/>
    <mergeCell ref="B23:C23"/>
    <mergeCell ref="B24:C24"/>
    <mergeCell ref="B20:C20"/>
    <mergeCell ref="H42:J42"/>
    <mergeCell ref="B18:C18"/>
    <mergeCell ref="B25:C25"/>
    <mergeCell ref="B27:C27"/>
    <mergeCell ref="B30:E30"/>
  </mergeCells>
  <conditionalFormatting sqref="D13:H23">
    <cfRule type="cellIs" dxfId="36" priority="1" operator="lessThan">
      <formula>3</formula>
    </cfRule>
  </conditionalFormatting>
  <conditionalFormatting sqref="H13:H16">
    <cfRule type="cellIs" dxfId="35" priority="3" operator="lessThan">
      <formula>3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2A9A3-8D2A-49FA-BD80-53C722DE46CC}">
  <sheetPr>
    <tabColor theme="9" tint="-0.499984740745262"/>
    <pageSetUpPr fitToPage="1"/>
  </sheetPr>
  <dimension ref="A2:N46"/>
  <sheetViews>
    <sheetView showGridLines="0" topLeftCell="A11" zoomScale="95" zoomScaleNormal="95" workbookViewId="0">
      <selection activeCell="H14" sqref="H14"/>
    </sheetView>
  </sheetViews>
  <sheetFormatPr defaultColWidth="12.5703125" defaultRowHeight="15.75" customHeight="1" x14ac:dyDescent="0.2"/>
  <cols>
    <col min="1" max="1" width="8.42578125" customWidth="1"/>
    <col min="2" max="2" width="14.140625" customWidth="1"/>
    <col min="3" max="3" width="14.85546875" customWidth="1"/>
    <col min="4" max="4" width="17.28515625" bestFit="1" customWidth="1"/>
    <col min="5" max="9" width="12.5703125" customWidth="1"/>
    <col min="10" max="10" width="36.28515625" customWidth="1"/>
    <col min="11" max="11" width="8.85546875" customWidth="1"/>
    <col min="12" max="21" width="7.5703125" customWidth="1"/>
  </cols>
  <sheetData>
    <row r="2" spans="1:10" ht="55.5" customHeight="1" x14ac:dyDescent="0.2">
      <c r="B2" s="670"/>
      <c r="C2" s="671"/>
      <c r="D2" s="672"/>
      <c r="E2" s="673" t="s">
        <v>213</v>
      </c>
      <c r="F2" s="671"/>
      <c r="G2" s="671"/>
      <c r="H2" s="671"/>
      <c r="I2" s="671"/>
      <c r="J2" s="672"/>
    </row>
    <row r="3" spans="1:10" ht="22.5" customHeight="1" x14ac:dyDescent="0.2">
      <c r="B3" s="46"/>
      <c r="C3" s="46"/>
      <c r="D3" s="47"/>
      <c r="E3" s="47"/>
      <c r="F3" s="47"/>
      <c r="G3" s="47"/>
      <c r="H3" s="47"/>
      <c r="I3" s="47"/>
    </row>
    <row r="4" spans="1:10" ht="42" customHeight="1" x14ac:dyDescent="0.2">
      <c r="B4" s="594" t="s">
        <v>214</v>
      </c>
      <c r="C4" s="596"/>
      <c r="D4" s="674" t="str">
        <f>Índex!B40</f>
        <v xml:space="preserve">PC3.03_Ind01. </v>
      </c>
      <c r="E4" s="672"/>
      <c r="F4" s="594" t="s">
        <v>215</v>
      </c>
      <c r="G4" s="596"/>
      <c r="H4" s="674" t="str">
        <f>Índex!C40</f>
        <v xml:space="preserve">Nombre de convenis de mobilitat </v>
      </c>
      <c r="I4" s="671"/>
      <c r="J4" s="672"/>
    </row>
    <row r="5" spans="1:10" ht="22.5" customHeight="1" x14ac:dyDescent="0.2">
      <c r="B5" s="594" t="s">
        <v>216</v>
      </c>
      <c r="C5" s="596"/>
      <c r="D5" s="813">
        <f>Índex!F40</f>
        <v>100</v>
      </c>
      <c r="E5" s="814"/>
      <c r="F5" s="732" t="s">
        <v>217</v>
      </c>
      <c r="G5" s="596"/>
      <c r="H5" s="775" t="s">
        <v>241</v>
      </c>
      <c r="I5" s="671"/>
      <c r="J5" s="636"/>
    </row>
    <row r="6" spans="1:10" ht="22.5" customHeight="1" x14ac:dyDescent="0.2">
      <c r="B6" s="594" t="s">
        <v>219</v>
      </c>
      <c r="C6" s="596"/>
      <c r="D6" s="674" t="s">
        <v>220</v>
      </c>
      <c r="E6" s="672"/>
      <c r="F6" s="594" t="s">
        <v>242</v>
      </c>
      <c r="G6" s="596"/>
      <c r="H6" s="12" t="str">
        <f>Índex!E40</f>
        <v xml:space="preserve">Responsable d’Intercanvis de la GA del centre </v>
      </c>
      <c r="J6" s="108"/>
    </row>
    <row r="7" spans="1:10" ht="22.5" customHeight="1" x14ac:dyDescent="0.2">
      <c r="B7" s="594" t="s">
        <v>222</v>
      </c>
      <c r="C7" s="596"/>
      <c r="D7" s="674" t="str">
        <f>Índex!G40</f>
        <v>PC3.03. Mobilitat de l’Alumnat</v>
      </c>
      <c r="E7" s="671"/>
      <c r="F7" s="671"/>
      <c r="G7" s="671"/>
      <c r="H7" s="671"/>
      <c r="I7" s="671"/>
      <c r="J7" s="672"/>
    </row>
    <row r="8" spans="1:10" ht="7.5" customHeight="1" x14ac:dyDescent="0.2"/>
    <row r="9" spans="1:10" ht="22.5" customHeight="1" x14ac:dyDescent="0.2">
      <c r="B9" s="594" t="s">
        <v>223</v>
      </c>
      <c r="C9" s="595"/>
      <c r="D9" s="595"/>
      <c r="E9" s="595"/>
      <c r="F9" s="595"/>
      <c r="G9" s="595"/>
      <c r="H9" s="595"/>
      <c r="I9" s="595"/>
      <c r="J9" s="596"/>
    </row>
    <row r="10" spans="1:10" ht="22.5" customHeight="1" x14ac:dyDescent="0.2">
      <c r="B10" s="14"/>
      <c r="C10" s="13"/>
      <c r="D10" s="13"/>
      <c r="E10" s="13"/>
      <c r="F10" s="13"/>
      <c r="G10" s="13"/>
      <c r="H10" s="13"/>
      <c r="I10" s="13"/>
      <c r="J10" s="13"/>
    </row>
    <row r="11" spans="1:10" ht="22.5" customHeight="1" x14ac:dyDescent="0.2">
      <c r="I11" s="13"/>
      <c r="J11" s="13"/>
    </row>
    <row r="12" spans="1:10" ht="22.5" customHeight="1" thickBot="1" x14ac:dyDescent="0.25">
      <c r="B12" s="16"/>
      <c r="C12" s="16"/>
      <c r="D12" s="110" t="s">
        <v>226</v>
      </c>
      <c r="E12" s="110" t="s">
        <v>227</v>
      </c>
      <c r="F12" s="110" t="s">
        <v>228</v>
      </c>
      <c r="G12" s="110" t="s">
        <v>229</v>
      </c>
      <c r="I12" s="13"/>
      <c r="J12" s="13"/>
    </row>
    <row r="13" spans="1:10" ht="26.25" customHeight="1" thickBot="1" x14ac:dyDescent="0.25">
      <c r="A13" s="803" t="s">
        <v>423</v>
      </c>
      <c r="B13" s="808" t="s">
        <v>424</v>
      </c>
      <c r="C13" s="808"/>
      <c r="D13" s="44">
        <v>27</v>
      </c>
      <c r="E13" s="44">
        <v>27</v>
      </c>
      <c r="F13" s="44">
        <v>27</v>
      </c>
      <c r="G13" s="433">
        <v>21</v>
      </c>
      <c r="H13" s="21"/>
      <c r="I13" s="13"/>
      <c r="J13" s="13"/>
    </row>
    <row r="14" spans="1:10" ht="22.5" customHeight="1" thickBot="1" x14ac:dyDescent="0.25">
      <c r="A14" s="804"/>
      <c r="B14" s="808" t="s">
        <v>425</v>
      </c>
      <c r="C14" s="808"/>
      <c r="D14" s="44">
        <v>11</v>
      </c>
      <c r="E14" s="44">
        <v>14</v>
      </c>
      <c r="F14" s="44">
        <v>13</v>
      </c>
      <c r="G14" s="434">
        <v>10</v>
      </c>
      <c r="H14" s="21"/>
      <c r="I14" s="13"/>
      <c r="J14" s="13"/>
    </row>
    <row r="15" spans="1:10" ht="76.5" customHeight="1" thickBot="1" x14ac:dyDescent="0.25">
      <c r="A15" s="804"/>
      <c r="B15" s="808" t="s">
        <v>426</v>
      </c>
      <c r="C15" s="808"/>
      <c r="D15" s="44">
        <v>38</v>
      </c>
      <c r="E15" s="44">
        <v>39</v>
      </c>
      <c r="F15" s="44">
        <v>39</v>
      </c>
      <c r="G15" s="434">
        <v>36</v>
      </c>
      <c r="H15" s="21"/>
      <c r="I15" s="13"/>
      <c r="J15" s="13"/>
    </row>
    <row r="16" spans="1:10" ht="22.5" customHeight="1" thickBot="1" x14ac:dyDescent="0.25">
      <c r="A16" s="804"/>
      <c r="B16" s="808" t="s">
        <v>427</v>
      </c>
      <c r="C16" s="808"/>
      <c r="D16" s="44">
        <v>1</v>
      </c>
      <c r="E16" s="44">
        <v>1</v>
      </c>
      <c r="F16" s="44">
        <v>1</v>
      </c>
      <c r="G16" s="558">
        <v>2</v>
      </c>
      <c r="H16" s="152"/>
      <c r="I16" s="13"/>
      <c r="J16" s="13"/>
    </row>
    <row r="17" spans="1:7" ht="22.5" customHeight="1" thickBot="1" x14ac:dyDescent="0.25">
      <c r="A17" s="804"/>
      <c r="B17" s="808" t="s">
        <v>428</v>
      </c>
      <c r="C17" s="808"/>
      <c r="D17" s="44">
        <v>26</v>
      </c>
      <c r="E17" s="44">
        <v>26</v>
      </c>
      <c r="F17" s="44">
        <v>27</v>
      </c>
      <c r="G17" s="434">
        <v>16</v>
      </c>
    </row>
    <row r="18" spans="1:7" ht="22.5" customHeight="1" thickBot="1" x14ac:dyDescent="0.25">
      <c r="A18" s="804"/>
      <c r="B18" s="808" t="s">
        <v>429</v>
      </c>
      <c r="C18" s="808"/>
      <c r="D18" s="44">
        <v>32</v>
      </c>
      <c r="E18" s="44">
        <v>34</v>
      </c>
      <c r="F18" s="44">
        <v>33</v>
      </c>
      <c r="G18" s="434">
        <v>42</v>
      </c>
    </row>
    <row r="19" spans="1:7" ht="22.5" customHeight="1" thickBot="1" x14ac:dyDescent="0.25">
      <c r="A19" s="806" t="s">
        <v>430</v>
      </c>
      <c r="B19" s="805" t="s">
        <v>431</v>
      </c>
      <c r="C19" s="805"/>
      <c r="D19" s="44">
        <v>1</v>
      </c>
      <c r="E19" s="44">
        <v>1</v>
      </c>
      <c r="F19" s="44">
        <v>3</v>
      </c>
      <c r="G19" s="434">
        <v>4</v>
      </c>
    </row>
    <row r="20" spans="1:7" ht="22.5" customHeight="1" thickBot="1" x14ac:dyDescent="0.25">
      <c r="A20" s="807"/>
      <c r="B20" s="805" t="s">
        <v>432</v>
      </c>
      <c r="C20" s="805"/>
      <c r="D20" s="44">
        <v>1</v>
      </c>
      <c r="E20" s="44">
        <v>1</v>
      </c>
      <c r="F20" s="44">
        <v>1</v>
      </c>
      <c r="G20" s="558">
        <v>1</v>
      </c>
    </row>
    <row r="21" spans="1:7" ht="22.5" customHeight="1" thickBot="1" x14ac:dyDescent="0.25">
      <c r="A21" s="807"/>
      <c r="B21" s="805" t="s">
        <v>433</v>
      </c>
      <c r="C21" s="805"/>
      <c r="D21" s="44">
        <v>6</v>
      </c>
      <c r="E21" s="44">
        <v>6</v>
      </c>
      <c r="F21" s="44">
        <v>11</v>
      </c>
      <c r="G21" s="434">
        <v>9</v>
      </c>
    </row>
    <row r="22" spans="1:7" ht="22.5" customHeight="1" thickBot="1" x14ac:dyDescent="0.25">
      <c r="A22" s="807"/>
      <c r="B22" s="805" t="s">
        <v>434</v>
      </c>
      <c r="C22" s="805"/>
      <c r="D22" s="44">
        <v>8</v>
      </c>
      <c r="E22" s="44">
        <v>8</v>
      </c>
      <c r="F22" s="44">
        <v>8</v>
      </c>
      <c r="G22" s="434">
        <v>6</v>
      </c>
    </row>
    <row r="23" spans="1:7" ht="22.5" customHeight="1" thickBot="1" x14ac:dyDescent="0.25">
      <c r="A23" s="807"/>
      <c r="B23" s="805" t="s">
        <v>435</v>
      </c>
      <c r="C23" s="805"/>
      <c r="D23" s="44">
        <v>19</v>
      </c>
      <c r="E23" s="44">
        <v>19</v>
      </c>
      <c r="F23" s="44">
        <v>17</v>
      </c>
      <c r="G23" s="434">
        <v>15</v>
      </c>
    </row>
    <row r="24" spans="1:7" ht="22.5" customHeight="1" thickBot="1" x14ac:dyDescent="0.25">
      <c r="A24" s="807"/>
      <c r="B24" s="805" t="s">
        <v>436</v>
      </c>
      <c r="C24" s="805"/>
      <c r="D24" s="44">
        <v>8</v>
      </c>
      <c r="E24" s="44">
        <v>8</v>
      </c>
      <c r="F24" s="44">
        <v>8</v>
      </c>
      <c r="G24" s="434">
        <v>9</v>
      </c>
    </row>
    <row r="25" spans="1:7" ht="22.5" customHeight="1" thickBot="1" x14ac:dyDescent="0.25">
      <c r="A25" s="807"/>
      <c r="B25" s="805" t="s">
        <v>437</v>
      </c>
      <c r="C25" s="805"/>
      <c r="D25" s="44">
        <v>21</v>
      </c>
      <c r="E25" s="44">
        <v>21</v>
      </c>
      <c r="F25" s="44">
        <v>23</v>
      </c>
      <c r="G25" s="434">
        <v>19</v>
      </c>
    </row>
    <row r="26" spans="1:7" ht="22.5" customHeight="1" thickBot="1" x14ac:dyDescent="0.25">
      <c r="A26" s="807"/>
      <c r="B26" s="805" t="s">
        <v>438</v>
      </c>
      <c r="C26" s="805"/>
      <c r="D26" s="44">
        <v>3</v>
      </c>
      <c r="E26" s="44">
        <v>3</v>
      </c>
      <c r="F26" s="44">
        <v>3</v>
      </c>
      <c r="G26" s="434">
        <v>3</v>
      </c>
    </row>
    <row r="27" spans="1:7" ht="22.5" customHeight="1" thickBot="1" x14ac:dyDescent="0.25">
      <c r="A27" s="801" t="s">
        <v>439</v>
      </c>
      <c r="B27" s="802" t="s">
        <v>440</v>
      </c>
      <c r="C27" s="802"/>
      <c r="D27" s="44">
        <v>81</v>
      </c>
      <c r="E27" s="44">
        <v>89</v>
      </c>
      <c r="F27" s="44">
        <v>90</v>
      </c>
      <c r="G27" s="434">
        <v>86</v>
      </c>
    </row>
    <row r="28" spans="1:7" ht="36.75" customHeight="1" thickBot="1" x14ac:dyDescent="0.25">
      <c r="A28" s="801"/>
      <c r="B28" s="802" t="s">
        <v>441</v>
      </c>
      <c r="C28" s="802"/>
      <c r="D28" s="44">
        <v>21</v>
      </c>
      <c r="E28" s="44">
        <v>21</v>
      </c>
      <c r="F28" s="44">
        <v>20</v>
      </c>
      <c r="G28" s="435">
        <v>17</v>
      </c>
    </row>
    <row r="29" spans="1:7" ht="36.75" customHeight="1" thickBot="1" x14ac:dyDescent="0.25">
      <c r="A29" s="330"/>
      <c r="B29" s="809" t="s">
        <v>442</v>
      </c>
      <c r="C29" s="809"/>
      <c r="D29" s="444">
        <f>SUM(D13:D28)</f>
        <v>304</v>
      </c>
      <c r="E29" s="444">
        <f>SUM(E13:E28)</f>
        <v>318</v>
      </c>
      <c r="F29" s="444">
        <f>SUM(F13:F28)</f>
        <v>324</v>
      </c>
      <c r="G29" s="445">
        <v>296</v>
      </c>
    </row>
    <row r="30" spans="1:7" ht="22.5" customHeight="1" x14ac:dyDescent="0.2">
      <c r="B30" s="685" t="s">
        <v>231</v>
      </c>
      <c r="C30" s="735"/>
      <c r="D30" s="61">
        <f>$D5</f>
        <v>100</v>
      </c>
      <c r="E30" s="61">
        <f>$D5</f>
        <v>100</v>
      </c>
      <c r="F30" s="61">
        <f>$D5</f>
        <v>100</v>
      </c>
      <c r="G30" s="61">
        <f>$D5</f>
        <v>100</v>
      </c>
    </row>
    <row r="31" spans="1:7" ht="22.5" customHeight="1" x14ac:dyDescent="0.2">
      <c r="B31" s="685" t="s">
        <v>232</v>
      </c>
      <c r="C31" s="735"/>
      <c r="D31" s="59">
        <f>D29/100</f>
        <v>3.04</v>
      </c>
      <c r="E31" s="59">
        <f t="shared" ref="E31:G31" si="0">E29/100</f>
        <v>3.18</v>
      </c>
      <c r="F31" s="59">
        <f t="shared" si="0"/>
        <v>3.24</v>
      </c>
      <c r="G31" s="59">
        <f t="shared" si="0"/>
        <v>2.96</v>
      </c>
    </row>
    <row r="33" spans="8:14" ht="22.5" customHeight="1" x14ac:dyDescent="0.2">
      <c r="H33" s="13"/>
      <c r="I33" s="13"/>
      <c r="J33" s="145" t="s">
        <v>234</v>
      </c>
      <c r="K33" s="147"/>
      <c r="L33" s="147"/>
      <c r="M33" s="146"/>
    </row>
    <row r="34" spans="8:14" ht="22.5" customHeight="1" x14ac:dyDescent="0.2">
      <c r="J34" s="9"/>
      <c r="K34" s="9"/>
      <c r="L34" s="9"/>
      <c r="M34" s="9"/>
    </row>
    <row r="35" spans="8:14" ht="22.5" customHeight="1" x14ac:dyDescent="0.2">
      <c r="K35" s="759" t="s">
        <v>443</v>
      </c>
      <c r="L35" s="760"/>
      <c r="M35" s="760"/>
      <c r="N35" s="761"/>
    </row>
    <row r="36" spans="8:14" ht="6" customHeight="1" x14ac:dyDescent="0.2">
      <c r="K36" s="762"/>
      <c r="L36" s="763"/>
      <c r="M36" s="763"/>
      <c r="N36" s="764"/>
    </row>
    <row r="37" spans="8:14" ht="19.5" customHeight="1" x14ac:dyDescent="0.2">
      <c r="K37" s="762"/>
      <c r="L37" s="763"/>
      <c r="M37" s="763"/>
      <c r="N37" s="764"/>
    </row>
    <row r="38" spans="8:14" ht="19.5" customHeight="1" x14ac:dyDescent="0.2">
      <c r="K38" s="762"/>
      <c r="L38" s="763"/>
      <c r="M38" s="763"/>
      <c r="N38" s="764"/>
    </row>
    <row r="39" spans="8:14" ht="19.5" customHeight="1" x14ac:dyDescent="0.2">
      <c r="K39" s="762"/>
      <c r="L39" s="763"/>
      <c r="M39" s="763"/>
      <c r="N39" s="764"/>
    </row>
    <row r="40" spans="8:14" ht="19.5" customHeight="1" x14ac:dyDescent="0.2">
      <c r="K40" s="762"/>
      <c r="L40" s="763"/>
      <c r="M40" s="763"/>
      <c r="N40" s="764"/>
    </row>
    <row r="41" spans="8:14" ht="19.5" customHeight="1" x14ac:dyDescent="0.2">
      <c r="K41" s="762"/>
      <c r="L41" s="763"/>
      <c r="M41" s="763"/>
      <c r="N41" s="764"/>
    </row>
    <row r="42" spans="8:14" ht="19.5" customHeight="1" x14ac:dyDescent="0.2">
      <c r="K42" s="762"/>
      <c r="L42" s="763"/>
      <c r="M42" s="763"/>
      <c r="N42" s="764"/>
    </row>
    <row r="43" spans="8:14" ht="19.5" customHeight="1" x14ac:dyDescent="0.2">
      <c r="K43" s="810"/>
      <c r="L43" s="811"/>
      <c r="M43" s="811"/>
      <c r="N43" s="812"/>
    </row>
    <row r="44" spans="8:14" ht="19.5" customHeight="1" x14ac:dyDescent="0.2"/>
    <row r="45" spans="8:14" ht="19.5" customHeight="1" x14ac:dyDescent="0.2"/>
    <row r="46" spans="8:14" ht="19.5" customHeight="1" x14ac:dyDescent="0.2">
      <c r="H46" s="588" t="s">
        <v>172</v>
      </c>
      <c r="I46" s="589"/>
      <c r="J46" s="589"/>
    </row>
  </sheetData>
  <sheetProtection sheet="1" formatCells="0" formatColumns="0" formatRows="0" insertColumns="0" insertRows="0" insertHyperlinks="0" deleteColumns="0" deleteRows="0" pivotTables="0"/>
  <mergeCells count="40">
    <mergeCell ref="K35:N43"/>
    <mergeCell ref="B2:D2"/>
    <mergeCell ref="E2:J2"/>
    <mergeCell ref="B4:C4"/>
    <mergeCell ref="D4:E4"/>
    <mergeCell ref="F4:G4"/>
    <mergeCell ref="H4:J4"/>
    <mergeCell ref="B5:C5"/>
    <mergeCell ref="F5:G5"/>
    <mergeCell ref="H5:J5"/>
    <mergeCell ref="B6:C6"/>
    <mergeCell ref="D6:E6"/>
    <mergeCell ref="F6:G6"/>
    <mergeCell ref="D5:E5"/>
    <mergeCell ref="B9:J9"/>
    <mergeCell ref="H46:J46"/>
    <mergeCell ref="B7:C7"/>
    <mergeCell ref="D7:J7"/>
    <mergeCell ref="B13:C13"/>
    <mergeCell ref="B14:C14"/>
    <mergeCell ref="B15:C15"/>
    <mergeCell ref="B16:C16"/>
    <mergeCell ref="B17:C17"/>
    <mergeCell ref="B18:C18"/>
    <mergeCell ref="B29:C29"/>
    <mergeCell ref="B23:C23"/>
    <mergeCell ref="B24:C24"/>
    <mergeCell ref="B25:C25"/>
    <mergeCell ref="B26:C26"/>
    <mergeCell ref="B27:C27"/>
    <mergeCell ref="A27:A28"/>
    <mergeCell ref="B28:C28"/>
    <mergeCell ref="B30:C30"/>
    <mergeCell ref="B31:C31"/>
    <mergeCell ref="A13:A18"/>
    <mergeCell ref="B19:C19"/>
    <mergeCell ref="B20:C20"/>
    <mergeCell ref="B21:C21"/>
    <mergeCell ref="B22:C22"/>
    <mergeCell ref="A19:A26"/>
  </mergeCells>
  <conditionalFormatting sqref="D13:F28">
    <cfRule type="cellIs" dxfId="34" priority="1" operator="lessThan">
      <formula>1</formula>
    </cfRule>
  </conditionalFormatting>
  <conditionalFormatting sqref="D29:F29">
    <cfRule type="cellIs" dxfId="33" priority="2" operator="lessThan">
      <formula>100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51E7F-EA6B-41BE-8E26-F4A14A478556}">
  <sheetPr>
    <tabColor theme="9" tint="-0.499984740745262"/>
    <pageSetUpPr fitToPage="1"/>
  </sheetPr>
  <dimension ref="A2:N40"/>
  <sheetViews>
    <sheetView showGridLines="0" topLeftCell="A67" workbookViewId="0">
      <selection activeCell="G75" sqref="G75"/>
    </sheetView>
  </sheetViews>
  <sheetFormatPr defaultColWidth="12.5703125" defaultRowHeight="15.75" customHeight="1" x14ac:dyDescent="0.2"/>
  <cols>
    <col min="1" max="1" width="3.42578125" customWidth="1"/>
    <col min="2" max="2" width="14.140625" customWidth="1"/>
    <col min="3" max="3" width="12.5703125" customWidth="1"/>
    <col min="4" max="4" width="17.28515625" bestFit="1" customWidth="1"/>
    <col min="5" max="9" width="12.5703125" customWidth="1"/>
    <col min="10" max="10" width="36.28515625" customWidth="1"/>
    <col min="11" max="20" width="7.5703125" customWidth="1"/>
  </cols>
  <sheetData>
    <row r="2" spans="2:10" ht="55.5" customHeight="1" x14ac:dyDescent="0.2">
      <c r="B2" s="670"/>
      <c r="C2" s="670"/>
      <c r="D2" s="670"/>
      <c r="E2" s="673" t="s">
        <v>213</v>
      </c>
      <c r="F2" s="673"/>
      <c r="G2" s="673"/>
      <c r="H2" s="673"/>
      <c r="I2" s="673"/>
      <c r="J2" s="673"/>
    </row>
    <row r="3" spans="2:10" ht="22.5" customHeight="1" x14ac:dyDescent="0.2">
      <c r="B3" s="46"/>
      <c r="C3" s="46"/>
      <c r="D3" s="47"/>
      <c r="E3" s="47"/>
      <c r="F3" s="47"/>
      <c r="G3" s="47"/>
      <c r="H3" s="47"/>
      <c r="I3" s="47"/>
    </row>
    <row r="4" spans="2:10" ht="42" customHeight="1" x14ac:dyDescent="0.2">
      <c r="B4" s="594" t="s">
        <v>214</v>
      </c>
      <c r="C4" s="594"/>
      <c r="D4" s="674" t="str">
        <f>Índex!B41</f>
        <v xml:space="preserve">PC3.03_Ind02. </v>
      </c>
      <c r="E4" s="674"/>
      <c r="F4" s="594" t="s">
        <v>215</v>
      </c>
      <c r="G4" s="594"/>
      <c r="H4" s="674" t="str">
        <f>Índex!C41</f>
        <v>Valoració mitjana a l’afirmació “Les accions de mobilitat que he realitzat han estat rellevants per al meu aprenentatge” (Objectiu ≥3 sobre 5)</v>
      </c>
      <c r="I4" s="674"/>
      <c r="J4" s="674"/>
    </row>
    <row r="5" spans="2:10" ht="22.5" customHeight="1" x14ac:dyDescent="0.2">
      <c r="B5" s="594" t="s">
        <v>323</v>
      </c>
      <c r="C5" s="594"/>
      <c r="D5" s="674" t="str">
        <f>Índex!F41</f>
        <v>≥3</v>
      </c>
      <c r="E5" s="674"/>
      <c r="F5" s="732" t="s">
        <v>217</v>
      </c>
      <c r="G5" s="732"/>
      <c r="H5" s="775" t="s">
        <v>241</v>
      </c>
      <c r="I5" s="775"/>
      <c r="J5" s="775"/>
    </row>
    <row r="6" spans="2:10" ht="22.5" customHeight="1" x14ac:dyDescent="0.2">
      <c r="B6" s="594" t="s">
        <v>219</v>
      </c>
      <c r="C6" s="594"/>
      <c r="D6" s="674" t="s">
        <v>220</v>
      </c>
      <c r="E6" s="674"/>
      <c r="F6" s="594" t="s">
        <v>242</v>
      </c>
      <c r="G6" s="594"/>
      <c r="H6" s="12" t="str">
        <f>Índex!E41</f>
        <v>Gestora de Qualitat</v>
      </c>
      <c r="J6" s="115"/>
    </row>
    <row r="7" spans="2:10" ht="22.5" customHeight="1" x14ac:dyDescent="0.2">
      <c r="B7" s="594" t="s">
        <v>222</v>
      </c>
      <c r="C7" s="594"/>
      <c r="D7" s="674" t="str">
        <f>Índex!G41</f>
        <v>PC3.03. Mobilitat de l’Alumnat</v>
      </c>
      <c r="E7" s="674"/>
      <c r="F7" s="674"/>
      <c r="G7" s="674"/>
      <c r="H7" s="674"/>
      <c r="I7" s="674"/>
      <c r="J7" s="674"/>
    </row>
    <row r="8" spans="2:10" ht="7.5" customHeight="1" x14ac:dyDescent="0.2"/>
    <row r="9" spans="2:10" ht="22.5" customHeight="1" x14ac:dyDescent="0.2">
      <c r="B9" s="594" t="s">
        <v>223</v>
      </c>
      <c r="C9" s="594"/>
      <c r="D9" s="594"/>
      <c r="E9" s="594"/>
      <c r="F9" s="594"/>
      <c r="G9" s="594"/>
      <c r="H9" s="594"/>
      <c r="I9" s="594"/>
      <c r="J9" s="594"/>
    </row>
    <row r="10" spans="2:10" ht="22.5" customHeight="1" x14ac:dyDescent="0.2"/>
    <row r="11" spans="2:10" ht="22.5" customHeight="1" x14ac:dyDescent="0.2">
      <c r="B11" s="815"/>
      <c r="C11" s="815"/>
      <c r="D11" s="94" t="s">
        <v>224</v>
      </c>
      <c r="E11" s="94" t="s">
        <v>225</v>
      </c>
      <c r="F11" s="94" t="s">
        <v>226</v>
      </c>
      <c r="G11" s="94" t="s">
        <v>227</v>
      </c>
      <c r="H11" s="94" t="s">
        <v>228</v>
      </c>
      <c r="I11" s="94" t="s">
        <v>229</v>
      </c>
    </row>
    <row r="12" spans="2:10" ht="22.5" customHeight="1" x14ac:dyDescent="0.2">
      <c r="B12" s="627" t="s">
        <v>244</v>
      </c>
      <c r="C12" s="627"/>
      <c r="D12" s="44">
        <v>2.9</v>
      </c>
      <c r="E12" s="44" t="s">
        <v>237</v>
      </c>
      <c r="F12" s="44">
        <v>4.33</v>
      </c>
      <c r="G12" s="44">
        <v>2.75</v>
      </c>
      <c r="H12" s="44">
        <v>3.93</v>
      </c>
      <c r="I12" s="44" t="s">
        <v>260</v>
      </c>
    </row>
    <row r="13" spans="2:10" ht="22.5" customHeight="1" x14ac:dyDescent="0.2">
      <c r="B13" s="627" t="s">
        <v>245</v>
      </c>
      <c r="C13" s="627"/>
      <c r="D13" s="44" t="s">
        <v>237</v>
      </c>
      <c r="E13" s="44" t="s">
        <v>237</v>
      </c>
      <c r="F13" s="44">
        <v>3.8</v>
      </c>
      <c r="G13" s="44">
        <v>3</v>
      </c>
      <c r="H13" s="44">
        <v>4.2</v>
      </c>
      <c r="I13" s="44" t="s">
        <v>260</v>
      </c>
    </row>
    <row r="14" spans="2:10" ht="22.5" customHeight="1" x14ac:dyDescent="0.2">
      <c r="B14" s="627" t="s">
        <v>246</v>
      </c>
      <c r="C14" s="627"/>
      <c r="D14" s="44" t="s">
        <v>237</v>
      </c>
      <c r="E14" s="114">
        <v>2.5</v>
      </c>
      <c r="F14" s="44">
        <v>3.17</v>
      </c>
      <c r="G14" s="44">
        <v>1</v>
      </c>
      <c r="H14" s="44">
        <v>3.8</v>
      </c>
      <c r="I14" s="44" t="s">
        <v>260</v>
      </c>
    </row>
    <row r="15" spans="2:10" ht="22.5" customHeight="1" x14ac:dyDescent="0.2">
      <c r="B15" s="627" t="s">
        <v>247</v>
      </c>
      <c r="C15" s="627"/>
      <c r="D15" s="114">
        <v>2.33</v>
      </c>
      <c r="E15" s="114">
        <v>3.27</v>
      </c>
      <c r="F15" s="44">
        <v>3.45</v>
      </c>
      <c r="G15" s="44">
        <v>3.33</v>
      </c>
      <c r="H15" s="44">
        <v>3.25</v>
      </c>
      <c r="I15" s="44" t="s">
        <v>260</v>
      </c>
    </row>
    <row r="16" spans="2:10" ht="22.5" customHeight="1" x14ac:dyDescent="0.2">
      <c r="B16" s="627" t="s">
        <v>248</v>
      </c>
      <c r="C16" s="627"/>
      <c r="D16" s="44" t="s">
        <v>237</v>
      </c>
      <c r="E16" s="44" t="s">
        <v>237</v>
      </c>
      <c r="F16" s="56" t="s">
        <v>237</v>
      </c>
      <c r="G16" s="44">
        <v>3</v>
      </c>
      <c r="H16" s="44">
        <v>5</v>
      </c>
      <c r="I16" s="44" t="s">
        <v>260</v>
      </c>
    </row>
    <row r="17" spans="1:14" ht="22.5" customHeight="1" x14ac:dyDescent="0.2">
      <c r="B17" s="627" t="s">
        <v>249</v>
      </c>
      <c r="C17" s="627"/>
      <c r="D17" s="114">
        <v>2.83</v>
      </c>
      <c r="E17" s="114">
        <v>2</v>
      </c>
      <c r="F17" s="56" t="s">
        <v>237</v>
      </c>
      <c r="G17" s="44">
        <v>2.33</v>
      </c>
      <c r="H17" s="44">
        <v>3.83</v>
      </c>
      <c r="I17" s="44" t="s">
        <v>260</v>
      </c>
      <c r="K17" s="21"/>
      <c r="L17" s="21"/>
      <c r="M17" s="21"/>
    </row>
    <row r="18" spans="1:14" ht="22.5" customHeight="1" x14ac:dyDescent="0.2">
      <c r="B18" s="627" t="s">
        <v>250</v>
      </c>
      <c r="C18" s="627"/>
      <c r="D18" s="114">
        <v>3.6</v>
      </c>
      <c r="E18" s="44" t="s">
        <v>237</v>
      </c>
      <c r="F18" s="56" t="s">
        <v>237</v>
      </c>
      <c r="G18" s="56" t="s">
        <v>237</v>
      </c>
      <c r="H18" s="44">
        <v>3.67</v>
      </c>
      <c r="I18" s="44" t="s">
        <v>260</v>
      </c>
      <c r="K18" s="21"/>
      <c r="L18" s="21"/>
      <c r="M18" s="21"/>
    </row>
    <row r="19" spans="1:14" ht="22.5" customHeight="1" x14ac:dyDescent="0.3">
      <c r="A19" s="35" t="s">
        <v>172</v>
      </c>
      <c r="B19" s="653" t="s">
        <v>251</v>
      </c>
      <c r="C19" s="654"/>
      <c r="D19" s="101" t="s">
        <v>237</v>
      </c>
      <c r="E19" s="44" t="s">
        <v>237</v>
      </c>
      <c r="F19" s="56" t="s">
        <v>237</v>
      </c>
      <c r="G19" s="56" t="s">
        <v>237</v>
      </c>
      <c r="H19" s="44">
        <v>4</v>
      </c>
      <c r="I19" s="44" t="s">
        <v>260</v>
      </c>
      <c r="K19" s="21"/>
      <c r="L19" s="21"/>
      <c r="M19" s="21"/>
    </row>
    <row r="20" spans="1:14" ht="22.5" customHeight="1" x14ac:dyDescent="0.2">
      <c r="B20" s="627" t="s">
        <v>252</v>
      </c>
      <c r="C20" s="627"/>
      <c r="D20" s="114">
        <v>3.22</v>
      </c>
      <c r="E20" s="114">
        <v>3.2</v>
      </c>
      <c r="F20" s="44">
        <v>2.91</v>
      </c>
      <c r="G20" s="44">
        <v>2.5</v>
      </c>
      <c r="H20" s="44">
        <v>3.31</v>
      </c>
      <c r="I20" s="44" t="s">
        <v>260</v>
      </c>
      <c r="K20" s="21"/>
      <c r="L20" s="21"/>
      <c r="M20" s="21"/>
    </row>
    <row r="21" spans="1:14" ht="22.5" customHeight="1" x14ac:dyDescent="0.2">
      <c r="B21" s="627" t="s">
        <v>253</v>
      </c>
      <c r="C21" s="627"/>
      <c r="D21" s="114">
        <v>3.5</v>
      </c>
      <c r="E21" s="114">
        <v>2.33</v>
      </c>
      <c r="F21" s="44">
        <v>3.85</v>
      </c>
      <c r="G21" s="44">
        <v>2.5</v>
      </c>
      <c r="H21" s="44">
        <v>3.57</v>
      </c>
      <c r="I21" s="44" t="s">
        <v>260</v>
      </c>
      <c r="K21" s="70" t="s">
        <v>234</v>
      </c>
      <c r="L21" s="147"/>
      <c r="M21" s="147"/>
      <c r="N21" s="146"/>
    </row>
    <row r="22" spans="1:14" ht="22.5" customHeight="1" x14ac:dyDescent="0.2">
      <c r="B22" s="627" t="s">
        <v>254</v>
      </c>
      <c r="C22" s="627"/>
      <c r="D22" s="114">
        <v>3.19</v>
      </c>
      <c r="E22" s="114">
        <v>2.67</v>
      </c>
      <c r="F22" s="44">
        <v>1.92</v>
      </c>
      <c r="G22" s="44">
        <v>3.33</v>
      </c>
      <c r="H22" s="44">
        <v>3.45</v>
      </c>
      <c r="I22" s="44" t="s">
        <v>260</v>
      </c>
      <c r="K22" s="9"/>
      <c r="L22" s="9"/>
      <c r="M22" s="9"/>
      <c r="N22" s="9"/>
    </row>
    <row r="23" spans="1:14" ht="22.5" customHeight="1" x14ac:dyDescent="0.25">
      <c r="B23" s="816" t="str">
        <f>D5</f>
        <v>≥3</v>
      </c>
      <c r="C23" s="816"/>
      <c r="D23" s="53">
        <f>COUNTIF(D12:D22,"&gt;=3")</f>
        <v>4</v>
      </c>
      <c r="E23" s="53">
        <f t="shared" ref="E23:H23" si="0">COUNTIF(E12:E22,"&gt;=3")</f>
        <v>2</v>
      </c>
      <c r="F23" s="53">
        <f t="shared" si="0"/>
        <v>5</v>
      </c>
      <c r="G23" s="53">
        <f t="shared" si="0"/>
        <v>4</v>
      </c>
      <c r="H23" s="53">
        <f t="shared" si="0"/>
        <v>11</v>
      </c>
      <c r="I23" s="53">
        <f t="shared" ref="I23" si="1">COUNTIF(I12:I22,"&gt;=3")</f>
        <v>0</v>
      </c>
      <c r="K23" s="759" t="s">
        <v>444</v>
      </c>
      <c r="L23" s="760"/>
      <c r="M23" s="760"/>
      <c r="N23" s="761"/>
    </row>
    <row r="24" spans="1:14" ht="22.5" customHeight="1" x14ac:dyDescent="0.25">
      <c r="B24" s="723" t="s">
        <v>274</v>
      </c>
      <c r="C24" s="723"/>
      <c r="D24" s="53">
        <f t="shared" ref="D24:I24" si="2">COUNT( D12:D22)</f>
        <v>7</v>
      </c>
      <c r="E24" s="53">
        <f t="shared" si="2"/>
        <v>6</v>
      </c>
      <c r="F24" s="53">
        <f t="shared" si="2"/>
        <v>7</v>
      </c>
      <c r="G24" s="53">
        <f t="shared" si="2"/>
        <v>9</v>
      </c>
      <c r="H24" s="53">
        <f t="shared" si="2"/>
        <v>11</v>
      </c>
      <c r="I24" s="53">
        <f t="shared" si="2"/>
        <v>0</v>
      </c>
      <c r="K24" s="762"/>
      <c r="L24" s="763"/>
      <c r="M24" s="763"/>
      <c r="N24" s="764"/>
    </row>
    <row r="25" spans="1:14" ht="22.5" customHeight="1" x14ac:dyDescent="0.2">
      <c r="B25" s="45" t="s">
        <v>231</v>
      </c>
      <c r="C25" s="12">
        <v>3</v>
      </c>
      <c r="D25" s="331">
        <v>3</v>
      </c>
      <c r="E25" s="331">
        <v>3</v>
      </c>
      <c r="F25" s="331">
        <v>3</v>
      </c>
      <c r="G25" s="331">
        <v>3</v>
      </c>
      <c r="H25" s="331">
        <v>3</v>
      </c>
      <c r="I25" s="331">
        <v>3</v>
      </c>
      <c r="K25" s="762"/>
      <c r="L25" s="763"/>
      <c r="M25" s="763"/>
      <c r="N25" s="764"/>
    </row>
    <row r="26" spans="1:14" ht="22.5" customHeight="1" x14ac:dyDescent="0.2">
      <c r="B26" s="685" t="s">
        <v>232</v>
      </c>
      <c r="C26" s="735"/>
      <c r="D26" s="59">
        <f t="shared" ref="D26:I26" si="3">D23/D24</f>
        <v>0.5714285714285714</v>
      </c>
      <c r="E26" s="59">
        <f t="shared" si="3"/>
        <v>0.33333333333333331</v>
      </c>
      <c r="F26" s="59">
        <f t="shared" si="3"/>
        <v>0.7142857142857143</v>
      </c>
      <c r="G26" s="59">
        <f t="shared" si="3"/>
        <v>0.44444444444444442</v>
      </c>
      <c r="H26" s="59">
        <f t="shared" si="3"/>
        <v>1</v>
      </c>
      <c r="I26" s="59" t="e">
        <f t="shared" si="3"/>
        <v>#DIV/0!</v>
      </c>
      <c r="K26" s="762"/>
      <c r="L26" s="763"/>
      <c r="M26" s="763"/>
      <c r="N26" s="764"/>
    </row>
    <row r="27" spans="1:14" ht="22.5" customHeight="1" x14ac:dyDescent="0.25">
      <c r="B27" s="7"/>
      <c r="C27" s="7"/>
      <c r="D27" s="6"/>
      <c r="E27" s="6"/>
      <c r="F27" s="6"/>
      <c r="G27" s="6"/>
      <c r="H27" s="6"/>
      <c r="I27" s="6"/>
      <c r="K27" s="762"/>
      <c r="L27" s="763"/>
      <c r="M27" s="763"/>
      <c r="N27" s="764"/>
    </row>
    <row r="28" spans="1:14" ht="22.5" customHeight="1" x14ac:dyDescent="0.2">
      <c r="B28" s="594" t="s">
        <v>233</v>
      </c>
      <c r="C28" s="595"/>
      <c r="D28" s="595"/>
      <c r="E28" s="596"/>
      <c r="F28" s="8"/>
      <c r="K28" s="762"/>
      <c r="L28" s="763"/>
      <c r="M28" s="763"/>
      <c r="N28" s="764"/>
    </row>
    <row r="29" spans="1:14" ht="22.5" customHeight="1" x14ac:dyDescent="0.2">
      <c r="B29" s="8"/>
      <c r="C29" s="8"/>
      <c r="D29" s="8"/>
      <c r="E29" s="8"/>
      <c r="F29" s="8"/>
      <c r="K29" s="762"/>
      <c r="L29" s="763"/>
      <c r="M29" s="763"/>
      <c r="N29" s="764"/>
    </row>
    <row r="30" spans="1:14" ht="6" customHeight="1" x14ac:dyDescent="0.2">
      <c r="B30" s="8"/>
      <c r="C30" s="8"/>
      <c r="D30" s="8"/>
      <c r="E30" s="8"/>
      <c r="F30" s="8"/>
      <c r="K30" s="762"/>
      <c r="L30" s="763"/>
      <c r="M30" s="763"/>
      <c r="N30" s="764"/>
    </row>
    <row r="31" spans="1:14" ht="19.5" customHeight="1" x14ac:dyDescent="0.2">
      <c r="B31" s="8"/>
      <c r="C31" s="8"/>
      <c r="D31" s="8"/>
      <c r="E31" s="8"/>
      <c r="F31" s="8"/>
      <c r="K31" s="810"/>
      <c r="L31" s="811"/>
      <c r="M31" s="811"/>
      <c r="N31" s="812"/>
    </row>
    <row r="40" spans="8:10" ht="19.5" customHeight="1" x14ac:dyDescent="0.2">
      <c r="H40" s="588" t="s">
        <v>172</v>
      </c>
      <c r="I40" s="589"/>
      <c r="J40" s="589"/>
    </row>
  </sheetData>
  <sheetProtection sheet="1" formatCells="0" formatColumns="0" formatRows="0" insertColumns="0" insertRows="0" insertHyperlinks="0" deleteColumns="0" deleteRows="0" pivotTables="0"/>
  <mergeCells count="34">
    <mergeCell ref="H40:J40"/>
    <mergeCell ref="B28:E28"/>
    <mergeCell ref="B23:C23"/>
    <mergeCell ref="B24:C24"/>
    <mergeCell ref="B26:C26"/>
    <mergeCell ref="K23:N31"/>
    <mergeCell ref="D7:J7"/>
    <mergeCell ref="B9:J9"/>
    <mergeCell ref="B12:C12"/>
    <mergeCell ref="B13:C13"/>
    <mergeCell ref="B11:C11"/>
    <mergeCell ref="B7:C7"/>
    <mergeCell ref="B16:C16"/>
    <mergeCell ref="B14:C14"/>
    <mergeCell ref="B15:C15"/>
    <mergeCell ref="B17:C17"/>
    <mergeCell ref="B18:C18"/>
    <mergeCell ref="B20:C20"/>
    <mergeCell ref="B21:C21"/>
    <mergeCell ref="B22:C22"/>
    <mergeCell ref="B19:C19"/>
    <mergeCell ref="B2:D2"/>
    <mergeCell ref="E2:J2"/>
    <mergeCell ref="B4:C4"/>
    <mergeCell ref="D4:E4"/>
    <mergeCell ref="F4:G4"/>
    <mergeCell ref="H4:J4"/>
    <mergeCell ref="B5:C5"/>
    <mergeCell ref="D5:E5"/>
    <mergeCell ref="F5:G5"/>
    <mergeCell ref="H5:J5"/>
    <mergeCell ref="B6:C6"/>
    <mergeCell ref="D6:E6"/>
    <mergeCell ref="F6:G6"/>
  </mergeCells>
  <conditionalFormatting sqref="D12:I22">
    <cfRule type="cellIs" dxfId="32" priority="1" operator="between">
      <formula>0</formula>
      <formula>2.7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B6CDD-F9B3-4BB2-9AFB-63C127409F8E}">
  <sheetPr>
    <tabColor theme="9" tint="-0.499984740745262"/>
    <pageSetUpPr fitToPage="1"/>
  </sheetPr>
  <dimension ref="A2:M63"/>
  <sheetViews>
    <sheetView showGridLines="0" zoomScale="95" zoomScaleNormal="95" workbookViewId="0">
      <selection activeCell="G5" sqref="G5:I5"/>
    </sheetView>
  </sheetViews>
  <sheetFormatPr defaultColWidth="12.5703125" defaultRowHeight="15.75" customHeight="1" x14ac:dyDescent="0.2"/>
  <cols>
    <col min="1" max="1" width="14.140625" customWidth="1"/>
    <col min="2" max="2" width="14.85546875" customWidth="1"/>
    <col min="3" max="3" width="17.28515625" bestFit="1" customWidth="1"/>
    <col min="4" max="8" width="12.5703125" customWidth="1"/>
    <col min="9" max="9" width="36.28515625" customWidth="1"/>
    <col min="10" max="10" width="8.85546875" customWidth="1"/>
    <col min="11" max="20" width="7.5703125" customWidth="1"/>
  </cols>
  <sheetData>
    <row r="2" spans="1:12" ht="55.5" customHeight="1" x14ac:dyDescent="0.2">
      <c r="A2" s="670"/>
      <c r="B2" s="671"/>
      <c r="C2" s="672"/>
      <c r="D2" s="673" t="s">
        <v>213</v>
      </c>
      <c r="E2" s="671"/>
      <c r="F2" s="671"/>
      <c r="G2" s="671"/>
      <c r="H2" s="671"/>
      <c r="I2" s="672"/>
      <c r="J2" s="3"/>
    </row>
    <row r="3" spans="1:12" ht="22.5" customHeight="1" x14ac:dyDescent="0.2">
      <c r="A3" s="46"/>
      <c r="B3" s="46"/>
      <c r="C3" s="47"/>
      <c r="D3" s="47"/>
      <c r="E3" s="47"/>
      <c r="F3" s="47"/>
      <c r="G3" s="47"/>
      <c r="H3" s="47"/>
    </row>
    <row r="4" spans="1:12" ht="42" customHeight="1" x14ac:dyDescent="0.2">
      <c r="A4" s="594" t="s">
        <v>214</v>
      </c>
      <c r="B4" s="596"/>
      <c r="C4" s="674" t="str">
        <f>Índex!B42</f>
        <v>PC3.03_Ind03</v>
      </c>
      <c r="D4" s="672"/>
      <c r="E4" s="594" t="s">
        <v>215</v>
      </c>
      <c r="F4" s="596"/>
      <c r="G4" s="674" t="str">
        <f>Índex!C42</f>
        <v>Percentatge d’alumnat estranger (Graus)</v>
      </c>
      <c r="H4" s="671"/>
      <c r="I4" s="672"/>
    </row>
    <row r="5" spans="1:12" ht="22.5" customHeight="1" x14ac:dyDescent="0.2">
      <c r="A5" s="594" t="s">
        <v>216</v>
      </c>
      <c r="B5" s="596"/>
      <c r="C5" s="817" t="str">
        <f>Índex!F42</f>
        <v>&lt;10</v>
      </c>
      <c r="D5" s="814"/>
      <c r="E5" s="732" t="s">
        <v>217</v>
      </c>
      <c r="F5" s="596"/>
      <c r="G5" s="775" t="s">
        <v>241</v>
      </c>
      <c r="H5" s="671"/>
      <c r="I5" s="636"/>
    </row>
    <row r="6" spans="1:12" ht="22.5" customHeight="1" x14ac:dyDescent="0.2">
      <c r="A6" s="594" t="s">
        <v>219</v>
      </c>
      <c r="B6" s="596"/>
      <c r="C6" s="674" t="s">
        <v>220</v>
      </c>
      <c r="D6" s="672"/>
      <c r="E6" s="594" t="s">
        <v>242</v>
      </c>
      <c r="F6" s="596"/>
      <c r="G6" s="12" t="str">
        <f>Índex!E42</f>
        <v>Gestora de Qualitat</v>
      </c>
      <c r="I6" s="108"/>
    </row>
    <row r="7" spans="1:12" ht="22.5" customHeight="1" x14ac:dyDescent="0.2">
      <c r="A7" s="594" t="s">
        <v>222</v>
      </c>
      <c r="B7" s="596"/>
      <c r="C7" s="674" t="str">
        <f>Índex!G42</f>
        <v>PC3.03. Mobilitat de l’Alumnat</v>
      </c>
      <c r="D7" s="671"/>
      <c r="E7" s="671"/>
      <c r="F7" s="671"/>
      <c r="G7" s="671"/>
      <c r="H7" s="671"/>
      <c r="I7" s="672"/>
    </row>
    <row r="8" spans="1:12" ht="7.5" customHeight="1" x14ac:dyDescent="0.2"/>
    <row r="9" spans="1:12" ht="22.5" customHeight="1" x14ac:dyDescent="0.2">
      <c r="A9" s="594" t="s">
        <v>223</v>
      </c>
      <c r="B9" s="595"/>
      <c r="C9" s="595"/>
      <c r="D9" s="595"/>
      <c r="E9" s="595"/>
      <c r="F9" s="595"/>
      <c r="G9" s="595"/>
      <c r="H9" s="595"/>
      <c r="I9" s="596"/>
    </row>
    <row r="10" spans="1:12" ht="22.5" customHeight="1" thickBot="1" x14ac:dyDescent="0.25">
      <c r="A10" s="14"/>
      <c r="B10" s="13"/>
      <c r="C10" s="13"/>
      <c r="D10" s="13"/>
      <c r="E10" s="13"/>
      <c r="F10" s="13"/>
      <c r="G10" s="13"/>
      <c r="H10" s="13"/>
      <c r="I10" s="13"/>
    </row>
    <row r="11" spans="1:12" ht="22.5" customHeight="1" thickBot="1" x14ac:dyDescent="0.25">
      <c r="A11" s="446" t="s">
        <v>445</v>
      </c>
      <c r="B11" s="818" t="s">
        <v>226</v>
      </c>
      <c r="C11" s="819"/>
      <c r="D11" s="818" t="s">
        <v>227</v>
      </c>
      <c r="E11" s="819"/>
      <c r="F11" s="818" t="s">
        <v>228</v>
      </c>
      <c r="G11" s="819"/>
      <c r="H11" s="818" t="s">
        <v>229</v>
      </c>
      <c r="I11" s="819"/>
    </row>
    <row r="12" spans="1:12" ht="22.5" customHeight="1" thickBot="1" x14ac:dyDescent="0.25">
      <c r="A12" s="447" t="s">
        <v>446</v>
      </c>
      <c r="B12" s="448">
        <v>5</v>
      </c>
      <c r="C12" s="449">
        <v>0.25252525300000001</v>
      </c>
      <c r="D12" s="448">
        <v>5</v>
      </c>
      <c r="E12" s="449">
        <v>0.24096386</v>
      </c>
      <c r="F12" s="448">
        <v>6</v>
      </c>
      <c r="G12" s="449">
        <v>0.28971511</v>
      </c>
      <c r="H12" s="448">
        <v>4</v>
      </c>
      <c r="I12" s="449">
        <v>0.19305019300000001</v>
      </c>
    </row>
    <row r="13" spans="1:12" ht="22.5" customHeight="1" thickBot="1" x14ac:dyDescent="0.25">
      <c r="A13" s="447" t="s">
        <v>447</v>
      </c>
      <c r="B13" s="448">
        <v>8</v>
      </c>
      <c r="C13" s="449">
        <v>0.40404040400000002</v>
      </c>
      <c r="D13" s="448">
        <v>8</v>
      </c>
      <c r="E13" s="449">
        <v>0.38554217000000002</v>
      </c>
      <c r="F13" s="448">
        <v>6</v>
      </c>
      <c r="G13" s="449">
        <v>0.28971511</v>
      </c>
      <c r="H13" s="448">
        <v>3</v>
      </c>
      <c r="I13" s="449">
        <v>0.14478764499999999</v>
      </c>
    </row>
    <row r="14" spans="1:12" ht="22.5" customHeight="1" thickBot="1" x14ac:dyDescent="0.25">
      <c r="A14" s="447" t="s">
        <v>448</v>
      </c>
      <c r="B14" s="448">
        <v>0</v>
      </c>
      <c r="C14" s="449">
        <v>0</v>
      </c>
      <c r="D14" s="448">
        <v>0</v>
      </c>
      <c r="E14" s="449">
        <v>0</v>
      </c>
      <c r="F14" s="448">
        <v>1</v>
      </c>
      <c r="G14" s="449">
        <v>4.8285849999999998E-2</v>
      </c>
      <c r="H14" s="448">
        <v>0</v>
      </c>
      <c r="I14" s="449">
        <v>0</v>
      </c>
    </row>
    <row r="15" spans="1:12" ht="22.5" customHeight="1" thickBot="1" x14ac:dyDescent="0.25">
      <c r="A15" s="447" t="s">
        <v>449</v>
      </c>
      <c r="B15" s="448">
        <v>1</v>
      </c>
      <c r="C15" s="449">
        <v>5.0505051000000002E-2</v>
      </c>
      <c r="D15" s="448">
        <v>1</v>
      </c>
      <c r="E15" s="449">
        <v>4.8192770000000003E-2</v>
      </c>
      <c r="F15" s="448">
        <v>0</v>
      </c>
      <c r="G15" s="449">
        <v>0</v>
      </c>
      <c r="H15" s="448">
        <v>0</v>
      </c>
      <c r="I15" s="449">
        <v>0</v>
      </c>
      <c r="J15" s="147"/>
      <c r="K15" s="147"/>
      <c r="L15" s="146"/>
    </row>
    <row r="16" spans="1:12" ht="22.5" customHeight="1" thickBot="1" x14ac:dyDescent="0.25">
      <c r="A16" s="447" t="s">
        <v>450</v>
      </c>
      <c r="B16" s="448">
        <v>5</v>
      </c>
      <c r="C16" s="449">
        <v>0.25252525300000001</v>
      </c>
      <c r="D16" s="448">
        <v>7</v>
      </c>
      <c r="E16" s="449">
        <v>0.33734940000000002</v>
      </c>
      <c r="F16" s="448">
        <v>9</v>
      </c>
      <c r="G16" s="449">
        <v>0.43457266999999999</v>
      </c>
      <c r="H16" s="448">
        <v>9</v>
      </c>
      <c r="I16" s="449">
        <v>0.43436293399999998</v>
      </c>
      <c r="J16" s="9"/>
      <c r="K16" s="9"/>
      <c r="L16" s="9"/>
    </row>
    <row r="17" spans="1:13" ht="22.5" customHeight="1" thickBot="1" x14ac:dyDescent="0.25">
      <c r="A17" s="447" t="s">
        <v>451</v>
      </c>
      <c r="B17" s="448">
        <v>3</v>
      </c>
      <c r="C17" s="449">
        <v>0.15151515199999999</v>
      </c>
      <c r="D17" s="448">
        <v>1</v>
      </c>
      <c r="E17" s="449">
        <v>4.8192770000000003E-2</v>
      </c>
      <c r="F17" s="448">
        <v>1</v>
      </c>
      <c r="G17" s="449">
        <v>4.8285849999999998E-2</v>
      </c>
      <c r="H17" s="448">
        <v>2</v>
      </c>
      <c r="I17" s="449">
        <v>9.6525097000000004E-2</v>
      </c>
      <c r="J17" s="759" t="s">
        <v>443</v>
      </c>
      <c r="K17" s="760"/>
      <c r="L17" s="760"/>
      <c r="M17" s="761"/>
    </row>
    <row r="18" spans="1:13" ht="15.75" customHeight="1" thickBot="1" x14ac:dyDescent="0.25">
      <c r="A18" s="447" t="s">
        <v>452</v>
      </c>
      <c r="B18" s="448">
        <v>2</v>
      </c>
      <c r="C18" s="449">
        <v>0.101010101</v>
      </c>
      <c r="D18" s="448">
        <v>2</v>
      </c>
      <c r="E18" s="449">
        <v>9.6385540000000006E-2</v>
      </c>
      <c r="F18" s="448">
        <v>3</v>
      </c>
      <c r="G18" s="449">
        <v>0.14485756</v>
      </c>
      <c r="H18" s="448">
        <v>2</v>
      </c>
      <c r="I18" s="449">
        <v>9.6525097000000004E-2</v>
      </c>
      <c r="J18" s="762"/>
      <c r="K18" s="763"/>
      <c r="L18" s="763"/>
      <c r="M18" s="764"/>
    </row>
    <row r="19" spans="1:13" ht="19.5" customHeight="1" thickBot="1" x14ac:dyDescent="0.25">
      <c r="A19" s="447" t="s">
        <v>453</v>
      </c>
      <c r="B19" s="448">
        <v>1</v>
      </c>
      <c r="C19" s="449">
        <v>5.0505051000000002E-2</v>
      </c>
      <c r="D19" s="448">
        <v>0</v>
      </c>
      <c r="E19" s="449">
        <v>0</v>
      </c>
      <c r="F19" s="448">
        <v>0</v>
      </c>
      <c r="G19" s="449">
        <v>0</v>
      </c>
      <c r="H19" s="448">
        <v>0</v>
      </c>
      <c r="I19" s="449">
        <v>0</v>
      </c>
      <c r="J19" s="762"/>
      <c r="K19" s="763"/>
      <c r="L19" s="763"/>
      <c r="M19" s="764"/>
    </row>
    <row r="20" spans="1:13" ht="19.5" customHeight="1" thickBot="1" x14ac:dyDescent="0.25">
      <c r="A20" s="447" t="s">
        <v>454</v>
      </c>
      <c r="B20" s="448">
        <v>2</v>
      </c>
      <c r="C20" s="449">
        <v>0.101010101</v>
      </c>
      <c r="D20" s="448">
        <v>2</v>
      </c>
      <c r="E20" s="449">
        <v>9.6385540000000006E-2</v>
      </c>
      <c r="F20" s="448">
        <v>2</v>
      </c>
      <c r="G20" s="449">
        <v>9.6571699999999996E-2</v>
      </c>
      <c r="H20" s="448">
        <v>2</v>
      </c>
      <c r="I20" s="449">
        <v>9.6525097000000004E-2</v>
      </c>
      <c r="J20" s="762"/>
      <c r="K20" s="763"/>
      <c r="L20" s="763"/>
      <c r="M20" s="764"/>
    </row>
    <row r="21" spans="1:13" ht="19.5" customHeight="1" thickBot="1" x14ac:dyDescent="0.25">
      <c r="A21" s="447" t="s">
        <v>455</v>
      </c>
      <c r="B21" s="448">
        <v>16</v>
      </c>
      <c r="C21" s="449">
        <v>0.80808080800000004</v>
      </c>
      <c r="D21" s="448">
        <v>21</v>
      </c>
      <c r="E21" s="449">
        <v>1.01204819</v>
      </c>
      <c r="F21" s="448">
        <v>22</v>
      </c>
      <c r="G21" s="449">
        <v>1.06228875</v>
      </c>
      <c r="H21" s="448">
        <v>28</v>
      </c>
      <c r="I21" s="449">
        <v>1.3513513509999999</v>
      </c>
      <c r="J21" s="762"/>
      <c r="K21" s="763"/>
      <c r="L21" s="763"/>
      <c r="M21" s="764"/>
    </row>
    <row r="22" spans="1:13" ht="19.5" customHeight="1" thickBot="1" x14ac:dyDescent="0.25">
      <c r="A22" s="447" t="s">
        <v>456</v>
      </c>
      <c r="B22" s="448">
        <v>9</v>
      </c>
      <c r="C22" s="449">
        <v>0.45454545499999999</v>
      </c>
      <c r="D22" s="448">
        <v>8</v>
      </c>
      <c r="E22" s="449">
        <v>0.38554217000000002</v>
      </c>
      <c r="F22" s="448">
        <v>7</v>
      </c>
      <c r="G22" s="449">
        <v>0.33800097000000001</v>
      </c>
      <c r="H22" s="448">
        <v>9</v>
      </c>
      <c r="I22" s="449">
        <v>0.43436293399999998</v>
      </c>
      <c r="J22" s="762"/>
      <c r="K22" s="763"/>
      <c r="L22" s="763"/>
      <c r="M22" s="764"/>
    </row>
    <row r="23" spans="1:13" ht="19.5" customHeight="1" thickBot="1" x14ac:dyDescent="0.25">
      <c r="A23" s="447" t="s">
        <v>457</v>
      </c>
      <c r="B23" s="448">
        <v>2</v>
      </c>
      <c r="C23" s="449">
        <v>0.101010101</v>
      </c>
      <c r="D23" s="448">
        <v>2</v>
      </c>
      <c r="E23" s="449">
        <v>9.6385540000000006E-2</v>
      </c>
      <c r="F23" s="448">
        <v>2</v>
      </c>
      <c r="G23" s="449">
        <v>9.6571699999999996E-2</v>
      </c>
      <c r="H23" s="448">
        <v>4</v>
      </c>
      <c r="I23" s="449">
        <v>0.19305019300000001</v>
      </c>
      <c r="J23" s="762"/>
      <c r="K23" s="763"/>
      <c r="L23" s="763"/>
      <c r="M23" s="764"/>
    </row>
    <row r="24" spans="1:13" ht="19.5" customHeight="1" thickBot="1" x14ac:dyDescent="0.25">
      <c r="A24" s="447" t="s">
        <v>458</v>
      </c>
      <c r="B24" s="448">
        <v>0</v>
      </c>
      <c r="C24" s="449">
        <v>0</v>
      </c>
      <c r="D24" s="448">
        <v>0</v>
      </c>
      <c r="E24" s="449">
        <v>0</v>
      </c>
      <c r="F24" s="448">
        <v>2</v>
      </c>
      <c r="G24" s="449">
        <v>9.6571699999999996E-2</v>
      </c>
      <c r="H24" s="448">
        <v>1</v>
      </c>
      <c r="I24" s="449">
        <v>4.8262548000000002E-2</v>
      </c>
      <c r="J24" s="762"/>
      <c r="K24" s="763"/>
      <c r="L24" s="763"/>
      <c r="M24" s="764"/>
    </row>
    <row r="25" spans="1:13" ht="19.5" customHeight="1" thickBot="1" x14ac:dyDescent="0.25">
      <c r="A25" s="447" t="s">
        <v>459</v>
      </c>
      <c r="B25" s="448">
        <v>7</v>
      </c>
      <c r="C25" s="449">
        <v>0.35353535400000002</v>
      </c>
      <c r="D25" s="448">
        <v>9</v>
      </c>
      <c r="E25" s="449">
        <v>0.43373494000000001</v>
      </c>
      <c r="F25" s="448">
        <v>5</v>
      </c>
      <c r="G25" s="449">
        <v>0.24142926000000001</v>
      </c>
      <c r="H25" s="448">
        <v>4</v>
      </c>
      <c r="I25" s="449">
        <v>0.19305019300000001</v>
      </c>
      <c r="J25" s="810"/>
      <c r="K25" s="811"/>
      <c r="L25" s="811"/>
      <c r="M25" s="812"/>
    </row>
    <row r="26" spans="1:13" ht="19.5" customHeight="1" thickBot="1" x14ac:dyDescent="0.25">
      <c r="A26" s="447" t="s">
        <v>460</v>
      </c>
      <c r="B26" s="448">
        <v>0</v>
      </c>
      <c r="C26" s="449">
        <v>0</v>
      </c>
      <c r="D26" s="448">
        <v>0</v>
      </c>
      <c r="E26" s="449">
        <v>0</v>
      </c>
      <c r="F26" s="448">
        <v>0</v>
      </c>
      <c r="G26" s="449">
        <v>0</v>
      </c>
      <c r="H26" s="448">
        <v>1</v>
      </c>
      <c r="I26" s="449">
        <v>4.8262548000000002E-2</v>
      </c>
    </row>
    <row r="27" spans="1:13" ht="19.5" customHeight="1" thickBot="1" x14ac:dyDescent="0.25">
      <c r="A27" s="447" t="s">
        <v>461</v>
      </c>
      <c r="B27" s="448">
        <v>0</v>
      </c>
      <c r="C27" s="449">
        <v>0</v>
      </c>
      <c r="D27" s="448">
        <v>1</v>
      </c>
      <c r="E27" s="449">
        <v>4.8192770000000003E-2</v>
      </c>
      <c r="F27" s="448">
        <v>1</v>
      </c>
      <c r="G27" s="449">
        <v>4.8285849999999998E-2</v>
      </c>
      <c r="H27" s="448">
        <v>2</v>
      </c>
      <c r="I27" s="449">
        <v>9.6525097000000004E-2</v>
      </c>
    </row>
    <row r="28" spans="1:13" ht="19.5" customHeight="1" thickBot="1" x14ac:dyDescent="0.25">
      <c r="A28" s="447" t="s">
        <v>462</v>
      </c>
      <c r="B28" s="448">
        <v>0</v>
      </c>
      <c r="C28" s="449">
        <v>0</v>
      </c>
      <c r="D28" s="448">
        <v>2</v>
      </c>
      <c r="E28" s="449">
        <v>9.6385540000000006E-2</v>
      </c>
      <c r="F28" s="448">
        <v>2</v>
      </c>
      <c r="G28" s="449">
        <v>9.6571699999999996E-2</v>
      </c>
      <c r="H28" s="448">
        <v>2</v>
      </c>
      <c r="I28" s="449">
        <v>9.6525097000000004E-2</v>
      </c>
    </row>
    <row r="29" spans="1:13" ht="19.5" customHeight="1" thickBot="1" x14ac:dyDescent="0.25">
      <c r="A29" s="447" t="s">
        <v>463</v>
      </c>
      <c r="B29" s="448">
        <v>3</v>
      </c>
      <c r="C29" s="449">
        <v>0.15151515199999999</v>
      </c>
      <c r="D29" s="448">
        <v>3</v>
      </c>
      <c r="E29" s="449">
        <v>0.14457830999999999</v>
      </c>
      <c r="F29" s="448">
        <v>4</v>
      </c>
      <c r="G29" s="449">
        <v>0.19314340999999999</v>
      </c>
      <c r="H29" s="448">
        <v>6</v>
      </c>
      <c r="I29" s="449">
        <v>0.28957528999999999</v>
      </c>
    </row>
    <row r="30" spans="1:13" ht="19.5" customHeight="1" thickBot="1" x14ac:dyDescent="0.25">
      <c r="A30" s="447" t="s">
        <v>464</v>
      </c>
      <c r="B30" s="448">
        <v>0</v>
      </c>
      <c r="C30" s="449">
        <v>0</v>
      </c>
      <c r="D30" s="448">
        <v>1</v>
      </c>
      <c r="E30" s="449">
        <v>4.8192770000000003E-2</v>
      </c>
      <c r="F30" s="448">
        <v>0</v>
      </c>
      <c r="G30" s="449">
        <v>0</v>
      </c>
      <c r="H30" s="448">
        <v>0</v>
      </c>
      <c r="I30" s="449">
        <v>0</v>
      </c>
    </row>
    <row r="31" spans="1:13" ht="19.5" customHeight="1" thickBot="1" x14ac:dyDescent="0.25">
      <c r="A31" s="447" t="s">
        <v>465</v>
      </c>
      <c r="B31" s="448">
        <v>0</v>
      </c>
      <c r="C31" s="449">
        <v>0</v>
      </c>
      <c r="D31" s="448">
        <v>1</v>
      </c>
      <c r="E31" s="449">
        <v>4.8192770000000003E-2</v>
      </c>
      <c r="F31" s="448">
        <v>1</v>
      </c>
      <c r="G31" s="449">
        <v>4.8285849999999998E-2</v>
      </c>
      <c r="H31" s="448">
        <v>0</v>
      </c>
      <c r="I31" s="449">
        <v>0</v>
      </c>
    </row>
    <row r="32" spans="1:13" ht="19.5" customHeight="1" thickBot="1" x14ac:dyDescent="0.25">
      <c r="A32" s="447" t="s">
        <v>466</v>
      </c>
      <c r="B32" s="448">
        <v>4</v>
      </c>
      <c r="C32" s="449">
        <v>0.20202020200000001</v>
      </c>
      <c r="D32" s="448">
        <v>3</v>
      </c>
      <c r="E32" s="449">
        <v>0.14457830999999999</v>
      </c>
      <c r="F32" s="448">
        <v>6</v>
      </c>
      <c r="G32" s="449">
        <v>0.28971511</v>
      </c>
      <c r="H32" s="448">
        <v>8</v>
      </c>
      <c r="I32" s="449">
        <v>0.38610038600000002</v>
      </c>
    </row>
    <row r="33" spans="1:9" ht="19.5" customHeight="1" thickBot="1" x14ac:dyDescent="0.25">
      <c r="A33" s="447" t="s">
        <v>467</v>
      </c>
      <c r="B33" s="448">
        <v>0</v>
      </c>
      <c r="C33" s="449">
        <v>0</v>
      </c>
      <c r="D33" s="448">
        <v>1</v>
      </c>
      <c r="E33" s="449">
        <v>4.8192770000000003E-2</v>
      </c>
      <c r="F33" s="448">
        <v>0</v>
      </c>
      <c r="G33" s="449">
        <v>0</v>
      </c>
      <c r="H33" s="448">
        <v>0</v>
      </c>
      <c r="I33" s="449">
        <v>0</v>
      </c>
    </row>
    <row r="34" spans="1:9" ht="19.5" customHeight="1" thickBot="1" x14ac:dyDescent="0.25">
      <c r="A34" s="447" t="s">
        <v>468</v>
      </c>
      <c r="B34" s="448">
        <v>2</v>
      </c>
      <c r="C34" s="449">
        <v>0.101010101</v>
      </c>
      <c r="D34" s="448">
        <v>1</v>
      </c>
      <c r="E34" s="449">
        <v>4.8192770000000003E-2</v>
      </c>
      <c r="F34" s="448">
        <v>2</v>
      </c>
      <c r="G34" s="449">
        <v>9.6571699999999996E-2</v>
      </c>
      <c r="H34" s="448">
        <v>5</v>
      </c>
      <c r="I34" s="449">
        <v>0.241312741</v>
      </c>
    </row>
    <row r="35" spans="1:9" ht="19.5" customHeight="1" thickBot="1" x14ac:dyDescent="0.25">
      <c r="A35" s="447" t="s">
        <v>469</v>
      </c>
      <c r="B35" s="448">
        <v>1</v>
      </c>
      <c r="C35" s="449">
        <v>5.0505051000000002E-2</v>
      </c>
      <c r="D35" s="448">
        <v>0</v>
      </c>
      <c r="E35" s="449">
        <v>0</v>
      </c>
      <c r="F35" s="448">
        <v>0</v>
      </c>
      <c r="G35" s="449">
        <v>0</v>
      </c>
      <c r="H35" s="448">
        <v>1</v>
      </c>
      <c r="I35" s="449">
        <v>4.8262548000000002E-2</v>
      </c>
    </row>
    <row r="36" spans="1:9" ht="19.5" customHeight="1" thickBot="1" x14ac:dyDescent="0.25">
      <c r="A36" s="447" t="s">
        <v>470</v>
      </c>
      <c r="B36" s="448">
        <v>0</v>
      </c>
      <c r="C36" s="449">
        <v>0</v>
      </c>
      <c r="D36" s="448">
        <v>0</v>
      </c>
      <c r="E36" s="449">
        <v>0</v>
      </c>
      <c r="F36" s="448">
        <v>0</v>
      </c>
      <c r="G36" s="449">
        <v>0</v>
      </c>
      <c r="H36" s="448">
        <v>1</v>
      </c>
      <c r="I36" s="449">
        <v>4.8262548000000002E-2</v>
      </c>
    </row>
    <row r="37" spans="1:9" ht="19.5" customHeight="1" thickBot="1" x14ac:dyDescent="0.25">
      <c r="A37" s="447" t="s">
        <v>471</v>
      </c>
      <c r="B37" s="448">
        <v>4</v>
      </c>
      <c r="C37" s="449">
        <v>0.20202020200000001</v>
      </c>
      <c r="D37" s="448">
        <v>4</v>
      </c>
      <c r="E37" s="449">
        <v>0.19277108000000001</v>
      </c>
      <c r="F37" s="448">
        <v>3</v>
      </c>
      <c r="G37" s="449">
        <v>0.14485756</v>
      </c>
      <c r="H37" s="448">
        <v>3</v>
      </c>
      <c r="I37" s="449">
        <v>0.14478764499999999</v>
      </c>
    </row>
    <row r="38" spans="1:9" ht="19.5" customHeight="1" thickBot="1" x14ac:dyDescent="0.25">
      <c r="A38" s="447" t="s">
        <v>472</v>
      </c>
      <c r="B38" s="448">
        <v>2</v>
      </c>
      <c r="C38" s="449">
        <v>0.101010101</v>
      </c>
      <c r="D38" s="448">
        <v>3</v>
      </c>
      <c r="E38" s="449">
        <v>0.14457830999999999</v>
      </c>
      <c r="F38" s="448">
        <v>3</v>
      </c>
      <c r="G38" s="449">
        <v>0.14485756</v>
      </c>
      <c r="H38" s="448">
        <v>4</v>
      </c>
      <c r="I38" s="449">
        <v>0.19305019300000001</v>
      </c>
    </row>
    <row r="39" spans="1:9" ht="19.5" customHeight="1" thickBot="1" x14ac:dyDescent="0.25">
      <c r="A39" s="447" t="s">
        <v>473</v>
      </c>
      <c r="B39" s="448">
        <v>1</v>
      </c>
      <c r="C39" s="449">
        <v>5.0505051000000002E-2</v>
      </c>
      <c r="D39" s="448">
        <v>0</v>
      </c>
      <c r="E39" s="449">
        <v>0</v>
      </c>
      <c r="F39" s="448">
        <v>0</v>
      </c>
      <c r="G39" s="449">
        <v>0</v>
      </c>
      <c r="H39" s="448">
        <v>0</v>
      </c>
      <c r="I39" s="449">
        <v>0</v>
      </c>
    </row>
    <row r="40" spans="1:9" ht="19.5" customHeight="1" thickBot="1" x14ac:dyDescent="0.25">
      <c r="A40" s="447" t="s">
        <v>474</v>
      </c>
      <c r="B40" s="448">
        <v>8</v>
      </c>
      <c r="C40" s="449">
        <v>0.40404040400000002</v>
      </c>
      <c r="D40" s="448">
        <v>6</v>
      </c>
      <c r="E40" s="449">
        <v>0.28915663000000003</v>
      </c>
      <c r="F40" s="448">
        <v>7</v>
      </c>
      <c r="G40" s="449">
        <v>0.33800097000000001</v>
      </c>
      <c r="H40" s="448">
        <v>7</v>
      </c>
      <c r="I40" s="449">
        <v>0.337837838</v>
      </c>
    </row>
    <row r="41" spans="1:9" ht="19.5" customHeight="1" thickBot="1" x14ac:dyDescent="0.25">
      <c r="A41" s="447" t="s">
        <v>475</v>
      </c>
      <c r="B41" s="448">
        <v>2</v>
      </c>
      <c r="C41" s="449">
        <v>0.101010101</v>
      </c>
      <c r="D41" s="448">
        <v>1</v>
      </c>
      <c r="E41" s="449">
        <v>4.8192770000000003E-2</v>
      </c>
      <c r="F41" s="448">
        <v>1</v>
      </c>
      <c r="G41" s="449">
        <v>4.8285849999999998E-2</v>
      </c>
      <c r="H41" s="448">
        <v>1</v>
      </c>
      <c r="I41" s="449">
        <v>4.8262548000000002E-2</v>
      </c>
    </row>
    <row r="42" spans="1:9" ht="19.5" customHeight="1" thickBot="1" x14ac:dyDescent="0.25">
      <c r="A42" s="447" t="s">
        <v>476</v>
      </c>
      <c r="B42" s="448">
        <v>0</v>
      </c>
      <c r="C42" s="449">
        <v>0</v>
      </c>
      <c r="D42" s="448">
        <v>1</v>
      </c>
      <c r="E42" s="449">
        <v>4.8192770000000003E-2</v>
      </c>
      <c r="F42" s="448">
        <v>1</v>
      </c>
      <c r="G42" s="449">
        <v>4.8285849999999998E-2</v>
      </c>
      <c r="H42" s="448">
        <v>2</v>
      </c>
      <c r="I42" s="449">
        <v>9.6525097000000004E-2</v>
      </c>
    </row>
    <row r="43" spans="1:9" ht="19.5" customHeight="1" thickBot="1" x14ac:dyDescent="0.25">
      <c r="A43" s="447" t="s">
        <v>477</v>
      </c>
      <c r="B43" s="448">
        <v>0</v>
      </c>
      <c r="C43" s="449">
        <v>0</v>
      </c>
      <c r="D43" s="448">
        <v>0</v>
      </c>
      <c r="E43" s="449">
        <v>0</v>
      </c>
      <c r="F43" s="448">
        <v>0</v>
      </c>
      <c r="G43" s="449">
        <v>0</v>
      </c>
      <c r="H43" s="448">
        <v>1</v>
      </c>
      <c r="I43" s="449">
        <v>4.8262548000000002E-2</v>
      </c>
    </row>
    <row r="44" spans="1:9" ht="19.5" customHeight="1" thickBot="1" x14ac:dyDescent="0.25">
      <c r="A44" s="447" t="s">
        <v>478</v>
      </c>
      <c r="B44" s="448">
        <v>3</v>
      </c>
      <c r="C44" s="449">
        <v>0.15151515199999999</v>
      </c>
      <c r="D44" s="448">
        <v>2</v>
      </c>
      <c r="E44" s="449">
        <v>9.6385540000000006E-2</v>
      </c>
      <c r="F44" s="448">
        <v>2</v>
      </c>
      <c r="G44" s="449">
        <v>9.6571699999999996E-2</v>
      </c>
      <c r="H44" s="448">
        <v>1</v>
      </c>
      <c r="I44" s="449">
        <v>4.8262548000000002E-2</v>
      </c>
    </row>
    <row r="45" spans="1:9" ht="19.5" customHeight="1" thickBot="1" x14ac:dyDescent="0.25">
      <c r="A45" s="447" t="s">
        <v>479</v>
      </c>
      <c r="B45" s="448">
        <v>3</v>
      </c>
      <c r="C45" s="449">
        <v>0.15151515199999999</v>
      </c>
      <c r="D45" s="448">
        <v>5</v>
      </c>
      <c r="E45" s="449">
        <v>0.24096386</v>
      </c>
      <c r="F45" s="448">
        <v>3</v>
      </c>
      <c r="G45" s="449">
        <v>0.14485756</v>
      </c>
      <c r="H45" s="448">
        <v>4</v>
      </c>
      <c r="I45" s="449">
        <v>0.19305019300000001</v>
      </c>
    </row>
    <row r="46" spans="1:9" ht="19.5" customHeight="1" thickBot="1" x14ac:dyDescent="0.25">
      <c r="A46" s="447" t="s">
        <v>480</v>
      </c>
      <c r="B46" s="448">
        <v>11</v>
      </c>
      <c r="C46" s="449">
        <v>0.55555555599999995</v>
      </c>
      <c r="D46" s="448">
        <v>11</v>
      </c>
      <c r="E46" s="449">
        <v>0.53012048000000001</v>
      </c>
      <c r="F46" s="448">
        <v>9</v>
      </c>
      <c r="G46" s="449">
        <v>0.43457266999999999</v>
      </c>
      <c r="H46" s="448">
        <v>10</v>
      </c>
      <c r="I46" s="449">
        <v>0.48262548300000002</v>
      </c>
    </row>
    <row r="47" spans="1:9" ht="19.5" customHeight="1" thickBot="1" x14ac:dyDescent="0.25">
      <c r="A47" s="447" t="s">
        <v>481</v>
      </c>
      <c r="B47" s="448">
        <v>1</v>
      </c>
      <c r="C47" s="449">
        <v>5.0505051000000002E-2</v>
      </c>
      <c r="D47" s="448">
        <v>2</v>
      </c>
      <c r="E47" s="449">
        <v>9.6385540000000006E-2</v>
      </c>
      <c r="F47" s="448">
        <v>1</v>
      </c>
      <c r="G47" s="449">
        <v>4.8285849999999998E-2</v>
      </c>
      <c r="H47" s="448">
        <v>1</v>
      </c>
      <c r="I47" s="449">
        <v>4.8262548000000002E-2</v>
      </c>
    </row>
    <row r="48" spans="1:9" ht="19.5" customHeight="1" thickBot="1" x14ac:dyDescent="0.25">
      <c r="A48" s="447" t="s">
        <v>482</v>
      </c>
      <c r="B48" s="448">
        <v>5</v>
      </c>
      <c r="C48" s="449">
        <v>0.25252525300000001</v>
      </c>
      <c r="D48" s="448">
        <v>6</v>
      </c>
      <c r="E48" s="449">
        <v>0.28915663000000003</v>
      </c>
      <c r="F48" s="448">
        <v>4</v>
      </c>
      <c r="G48" s="449">
        <v>0.19314340999999999</v>
      </c>
      <c r="H48" s="448">
        <v>2</v>
      </c>
      <c r="I48" s="449">
        <v>9.6525097000000004E-2</v>
      </c>
    </row>
    <row r="49" spans="1:9" ht="19.5" customHeight="1" thickBot="1" x14ac:dyDescent="0.25">
      <c r="A49" s="447" t="s">
        <v>483</v>
      </c>
      <c r="B49" s="448">
        <v>2</v>
      </c>
      <c r="C49" s="449">
        <v>0.101010101</v>
      </c>
      <c r="D49" s="448">
        <v>1</v>
      </c>
      <c r="E49" s="449">
        <v>4.8192770000000003E-2</v>
      </c>
      <c r="F49" s="448">
        <v>1</v>
      </c>
      <c r="G49" s="449">
        <v>4.8285849999999998E-2</v>
      </c>
      <c r="H49" s="448">
        <v>4</v>
      </c>
      <c r="I49" s="449">
        <v>0.19305019300000001</v>
      </c>
    </row>
    <row r="50" spans="1:9" ht="19.5" customHeight="1" thickBot="1" x14ac:dyDescent="0.25">
      <c r="A50" s="447" t="s">
        <v>484</v>
      </c>
      <c r="B50" s="448">
        <v>1</v>
      </c>
      <c r="C50" s="449">
        <v>5.0505051000000002E-2</v>
      </c>
      <c r="D50" s="448">
        <v>1</v>
      </c>
      <c r="E50" s="449">
        <v>4.8192770000000003E-2</v>
      </c>
      <c r="F50" s="448">
        <v>1</v>
      </c>
      <c r="G50" s="449">
        <v>4.8285849999999998E-2</v>
      </c>
      <c r="H50" s="448">
        <v>0</v>
      </c>
      <c r="I50" s="449">
        <v>0</v>
      </c>
    </row>
    <row r="51" spans="1:9" ht="19.5" customHeight="1" thickBot="1" x14ac:dyDescent="0.25">
      <c r="A51" s="447" t="s">
        <v>485</v>
      </c>
      <c r="B51" s="448">
        <v>1</v>
      </c>
      <c r="C51" s="449">
        <v>5.0505051000000002E-2</v>
      </c>
      <c r="D51" s="448">
        <v>1</v>
      </c>
      <c r="E51" s="449">
        <v>4.8192770000000003E-2</v>
      </c>
      <c r="F51" s="448">
        <v>1</v>
      </c>
      <c r="G51" s="449">
        <v>4.8285849999999998E-2</v>
      </c>
      <c r="H51" s="448">
        <v>1</v>
      </c>
      <c r="I51" s="449">
        <v>4.8262548000000002E-2</v>
      </c>
    </row>
    <row r="52" spans="1:9" ht="19.5" customHeight="1" thickBot="1" x14ac:dyDescent="0.25">
      <c r="A52" s="447" t="s">
        <v>486</v>
      </c>
      <c r="B52" s="448">
        <v>1845</v>
      </c>
      <c r="C52" s="450">
        <v>93.181818179999993</v>
      </c>
      <c r="D52" s="451">
        <v>1928</v>
      </c>
      <c r="E52" s="450">
        <v>92.915662699999999</v>
      </c>
      <c r="F52" s="451">
        <v>1927</v>
      </c>
      <c r="G52" s="450">
        <v>93.046837300000007</v>
      </c>
      <c r="H52" s="451">
        <v>1913</v>
      </c>
      <c r="I52" s="450">
        <v>92.326254829999996</v>
      </c>
    </row>
    <row r="53" spans="1:9" ht="19.5" customHeight="1" thickBot="1" x14ac:dyDescent="0.25">
      <c r="A53" s="447" t="s">
        <v>487</v>
      </c>
      <c r="B53" s="448">
        <v>1</v>
      </c>
      <c r="C53" s="449">
        <v>5.0505051000000002E-2</v>
      </c>
      <c r="D53" s="448">
        <v>1</v>
      </c>
      <c r="E53" s="449">
        <v>4.8192770000000003E-2</v>
      </c>
      <c r="F53" s="448">
        <v>0</v>
      </c>
      <c r="G53" s="449">
        <v>0</v>
      </c>
      <c r="H53" s="448">
        <v>0</v>
      </c>
      <c r="I53" s="449">
        <v>0</v>
      </c>
    </row>
    <row r="54" spans="1:9" ht="19.5" customHeight="1" thickBot="1" x14ac:dyDescent="0.25">
      <c r="A54" s="447" t="s">
        <v>488</v>
      </c>
      <c r="B54" s="448">
        <v>1</v>
      </c>
      <c r="C54" s="449">
        <v>5.0505051000000002E-2</v>
      </c>
      <c r="D54" s="448">
        <v>1</v>
      </c>
      <c r="E54" s="449">
        <v>4.8192770000000003E-2</v>
      </c>
      <c r="F54" s="448">
        <v>1</v>
      </c>
      <c r="G54" s="449">
        <v>4.8285849999999998E-2</v>
      </c>
      <c r="H54" s="448">
        <v>0</v>
      </c>
      <c r="I54" s="449">
        <v>0</v>
      </c>
    </row>
    <row r="55" spans="1:9" ht="19.5" customHeight="1" thickBot="1" x14ac:dyDescent="0.25">
      <c r="A55" s="447" t="s">
        <v>489</v>
      </c>
      <c r="B55" s="448">
        <v>1</v>
      </c>
      <c r="C55" s="449">
        <v>5.0505051000000002E-2</v>
      </c>
      <c r="D55" s="448">
        <v>1</v>
      </c>
      <c r="E55" s="449">
        <v>4.8192770000000003E-2</v>
      </c>
      <c r="F55" s="448">
        <v>1</v>
      </c>
      <c r="G55" s="449">
        <v>4.8285849999999998E-2</v>
      </c>
      <c r="H55" s="448">
        <v>1</v>
      </c>
      <c r="I55" s="449">
        <v>4.8262548000000002E-2</v>
      </c>
    </row>
    <row r="56" spans="1:9" ht="19.5" customHeight="1" thickBot="1" x14ac:dyDescent="0.25">
      <c r="A56" s="447" t="s">
        <v>490</v>
      </c>
      <c r="B56" s="448">
        <v>2</v>
      </c>
      <c r="C56" s="449">
        <v>0.101010101</v>
      </c>
      <c r="D56" s="448">
        <v>3</v>
      </c>
      <c r="E56" s="449">
        <v>0.14457830999999999</v>
      </c>
      <c r="F56" s="448">
        <v>2</v>
      </c>
      <c r="G56" s="449">
        <v>9.6571699999999996E-2</v>
      </c>
      <c r="H56" s="448">
        <v>2</v>
      </c>
      <c r="I56" s="449">
        <v>9.6525097000000004E-2</v>
      </c>
    </row>
    <row r="57" spans="1:9" ht="19.5" customHeight="1" thickBot="1" x14ac:dyDescent="0.25">
      <c r="A57" s="447" t="s">
        <v>491</v>
      </c>
      <c r="B57" s="448">
        <v>3</v>
      </c>
      <c r="C57" s="449">
        <v>0.15151515199999999</v>
      </c>
      <c r="D57" s="448">
        <v>5</v>
      </c>
      <c r="E57" s="449">
        <v>0.24096386</v>
      </c>
      <c r="F57" s="448">
        <v>4</v>
      </c>
      <c r="G57" s="449">
        <v>0.19314340999999999</v>
      </c>
      <c r="H57" s="448">
        <v>5</v>
      </c>
      <c r="I57" s="449">
        <v>0.241312741</v>
      </c>
    </row>
    <row r="58" spans="1:9" ht="19.5" customHeight="1" thickBot="1" x14ac:dyDescent="0.25">
      <c r="A58" s="447" t="s">
        <v>492</v>
      </c>
      <c r="B58" s="448">
        <v>7</v>
      </c>
      <c r="C58" s="449">
        <v>0.35353535400000002</v>
      </c>
      <c r="D58" s="448">
        <v>8</v>
      </c>
      <c r="E58" s="449">
        <v>0.38554217000000002</v>
      </c>
      <c r="F58" s="448">
        <v>8</v>
      </c>
      <c r="G58" s="449">
        <v>0.38628681999999998</v>
      </c>
      <c r="H58" s="448">
        <v>5</v>
      </c>
      <c r="I58" s="449">
        <v>0.241312741</v>
      </c>
    </row>
    <row r="59" spans="1:9" ht="19.5" customHeight="1" thickBot="1" x14ac:dyDescent="0.25">
      <c r="A59" s="447" t="s">
        <v>493</v>
      </c>
      <c r="B59" s="448">
        <v>5</v>
      </c>
      <c r="C59" s="449">
        <v>0.25252525300000001</v>
      </c>
      <c r="D59" s="448">
        <v>5</v>
      </c>
      <c r="E59" s="449">
        <v>0.24096386</v>
      </c>
      <c r="F59" s="448">
        <v>9</v>
      </c>
      <c r="G59" s="449">
        <v>0.43457266999999999</v>
      </c>
      <c r="H59" s="448">
        <v>11</v>
      </c>
      <c r="I59" s="449">
        <v>0.53088803100000004</v>
      </c>
    </row>
    <row r="60" spans="1:9" ht="19.5" customHeight="1" thickBot="1" x14ac:dyDescent="0.25">
      <c r="A60" s="452" t="s">
        <v>494</v>
      </c>
      <c r="B60" s="448">
        <v>1980</v>
      </c>
      <c r="C60" s="448" t="s">
        <v>172</v>
      </c>
      <c r="D60" s="448">
        <v>2075</v>
      </c>
      <c r="E60" s="449" t="s">
        <v>172</v>
      </c>
      <c r="F60" s="448">
        <v>2071</v>
      </c>
      <c r="G60" s="449" t="s">
        <v>172</v>
      </c>
      <c r="H60" s="448">
        <v>2072</v>
      </c>
      <c r="I60" s="448" t="s">
        <v>172</v>
      </c>
    </row>
    <row r="61" spans="1:9" ht="19.5" customHeight="1" thickBot="1" x14ac:dyDescent="0.25">
      <c r="A61" s="452" t="s">
        <v>495</v>
      </c>
      <c r="B61" s="448" t="s">
        <v>172</v>
      </c>
      <c r="C61" s="451">
        <v>6.8181818180000002</v>
      </c>
      <c r="D61" s="451" t="s">
        <v>172</v>
      </c>
      <c r="E61" s="451">
        <v>7.0843373500000002</v>
      </c>
      <c r="F61" s="451" t="s">
        <v>172</v>
      </c>
      <c r="G61" s="451">
        <v>6.9531627199999999</v>
      </c>
      <c r="H61" s="451" t="s">
        <v>172</v>
      </c>
      <c r="I61" s="451">
        <v>7.6737451739999996</v>
      </c>
    </row>
    <row r="62" spans="1:9" ht="54.75" customHeight="1" x14ac:dyDescent="0.2">
      <c r="A62" s="453" t="s">
        <v>496</v>
      </c>
      <c r="B62" s="820">
        <v>1</v>
      </c>
      <c r="C62" s="821"/>
      <c r="D62" s="820">
        <v>1</v>
      </c>
      <c r="E62" s="822"/>
      <c r="F62" s="822">
        <v>1</v>
      </c>
      <c r="G62" s="821"/>
      <c r="H62" s="820">
        <v>1</v>
      </c>
      <c r="I62" s="821"/>
    </row>
    <row r="63" spans="1:9" ht="19.5" customHeight="1" x14ac:dyDescent="0.2">
      <c r="A63" s="34" t="s">
        <v>627</v>
      </c>
      <c r="B63" s="655">
        <v>10</v>
      </c>
      <c r="C63" s="655"/>
      <c r="D63" s="655">
        <v>10</v>
      </c>
      <c r="E63" s="655"/>
      <c r="F63" s="655">
        <v>10</v>
      </c>
      <c r="G63" s="655"/>
      <c r="H63" s="655">
        <v>10</v>
      </c>
      <c r="I63" s="655"/>
    </row>
  </sheetData>
  <sheetProtection sheet="1" formatCells="0" formatColumns="0" formatRows="0" insertColumns="0" insertRows="0" insertHyperlinks="0" deleteColumns="0" deleteRows="0" pivotTables="0"/>
  <mergeCells count="29">
    <mergeCell ref="B63:C63"/>
    <mergeCell ref="D63:E63"/>
    <mergeCell ref="F63:G63"/>
    <mergeCell ref="H63:I63"/>
    <mergeCell ref="B11:C11"/>
    <mergeCell ref="D11:E11"/>
    <mergeCell ref="F11:G11"/>
    <mergeCell ref="H11:I11"/>
    <mergeCell ref="B62:C62"/>
    <mergeCell ref="D62:E62"/>
    <mergeCell ref="F62:G62"/>
    <mergeCell ref="H62:I62"/>
    <mergeCell ref="J17:M25"/>
    <mergeCell ref="A7:B7"/>
    <mergeCell ref="C7:I7"/>
    <mergeCell ref="A9:I9"/>
    <mergeCell ref="A5:B5"/>
    <mergeCell ref="C5:D5"/>
    <mergeCell ref="E5:F5"/>
    <mergeCell ref="G5:I5"/>
    <mergeCell ref="A6:B6"/>
    <mergeCell ref="C6:D6"/>
    <mergeCell ref="E6:F6"/>
    <mergeCell ref="A2:C2"/>
    <mergeCell ref="D2:I2"/>
    <mergeCell ref="A4:B4"/>
    <mergeCell ref="C4:D4"/>
    <mergeCell ref="E4:F4"/>
    <mergeCell ref="G4:I4"/>
  </mergeCells>
  <pageMargins left="0.7" right="0.7" top="0.75" bottom="0.75" header="0" footer="0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3BC30-0072-4953-AD26-87675A1EBF69}">
  <sheetPr>
    <tabColor theme="9" tint="-0.499984740745262"/>
    <pageSetUpPr fitToPage="1"/>
  </sheetPr>
  <dimension ref="A2:V34"/>
  <sheetViews>
    <sheetView showGridLines="0" topLeftCell="A11" zoomScale="95" zoomScaleNormal="95" workbookViewId="0">
      <selection activeCell="I16" sqref="I16"/>
    </sheetView>
  </sheetViews>
  <sheetFormatPr defaultColWidth="12.5703125" defaultRowHeight="15.75" customHeight="1" x14ac:dyDescent="0.2"/>
  <cols>
    <col min="1" max="1" width="14.140625" customWidth="1"/>
    <col min="2" max="2" width="14.85546875" customWidth="1"/>
    <col min="3" max="3" width="17.28515625" bestFit="1" customWidth="1"/>
    <col min="4" max="8" width="12.5703125" customWidth="1"/>
    <col min="9" max="9" width="36.28515625" customWidth="1"/>
    <col min="10" max="10" width="8.85546875" customWidth="1"/>
    <col min="11" max="20" width="7.5703125" customWidth="1"/>
  </cols>
  <sheetData>
    <row r="2" spans="1:13" ht="55.5" customHeight="1" x14ac:dyDescent="0.2">
      <c r="A2" s="670"/>
      <c r="B2" s="671"/>
      <c r="C2" s="672"/>
      <c r="D2" s="673" t="s">
        <v>213</v>
      </c>
      <c r="E2" s="671"/>
      <c r="F2" s="671"/>
      <c r="G2" s="671"/>
      <c r="H2" s="671"/>
      <c r="I2" s="672"/>
      <c r="J2" s="3"/>
    </row>
    <row r="3" spans="1:13" ht="22.5" customHeight="1" x14ac:dyDescent="0.2">
      <c r="A3" s="46"/>
      <c r="B3" s="46"/>
      <c r="C3" s="47"/>
      <c r="D3" s="47"/>
      <c r="E3" s="47"/>
      <c r="F3" s="47"/>
      <c r="G3" s="47"/>
      <c r="H3" s="47"/>
    </row>
    <row r="4" spans="1:13" ht="42" customHeight="1" x14ac:dyDescent="0.2">
      <c r="A4" s="594" t="s">
        <v>214</v>
      </c>
      <c r="B4" s="596"/>
      <c r="C4" s="674" t="str">
        <f>Índex!B43</f>
        <v xml:space="preserve">PC3.03_Ind04 </v>
      </c>
      <c r="D4" s="672"/>
      <c r="E4" s="594" t="s">
        <v>215</v>
      </c>
      <c r="F4" s="596"/>
      <c r="G4" s="674" t="str">
        <f>Índex!C43</f>
        <v>Percentatge d’alumnat rebut per mitjà de programes de mobilitat (Incoming_ Graus)</v>
      </c>
      <c r="H4" s="671"/>
      <c r="I4" s="672"/>
    </row>
    <row r="5" spans="1:13" ht="22.5" customHeight="1" x14ac:dyDescent="0.2">
      <c r="A5" s="594" t="s">
        <v>216</v>
      </c>
      <c r="B5" s="596"/>
      <c r="C5" s="817" t="str">
        <f>Índex!F43</f>
        <v>&lt;3</v>
      </c>
      <c r="D5" s="814"/>
      <c r="E5" s="732" t="s">
        <v>217</v>
      </c>
      <c r="F5" s="596"/>
      <c r="G5" s="775" t="s">
        <v>241</v>
      </c>
      <c r="H5" s="671"/>
      <c r="I5" s="636"/>
    </row>
    <row r="6" spans="1:13" ht="22.5" customHeight="1" x14ac:dyDescent="0.2">
      <c r="A6" s="594" t="s">
        <v>219</v>
      </c>
      <c r="B6" s="596"/>
      <c r="C6" s="674" t="s">
        <v>220</v>
      </c>
      <c r="D6" s="672"/>
      <c r="E6" s="594" t="s">
        <v>242</v>
      </c>
      <c r="F6" s="596"/>
      <c r="G6" s="12" t="str">
        <f>Índex!E43</f>
        <v>Gestora de Qualitat</v>
      </c>
      <c r="I6" s="108"/>
    </row>
    <row r="7" spans="1:13" ht="22.5" customHeight="1" x14ac:dyDescent="0.2">
      <c r="A7" s="594" t="s">
        <v>222</v>
      </c>
      <c r="B7" s="596"/>
      <c r="C7" s="674" t="str">
        <f>Índex!G43</f>
        <v>PC3.03. Mobilitat de l’Alumnat</v>
      </c>
      <c r="D7" s="671"/>
      <c r="E7" s="671"/>
      <c r="F7" s="671"/>
      <c r="G7" s="671"/>
      <c r="H7" s="671"/>
      <c r="I7" s="672"/>
    </row>
    <row r="8" spans="1:13" ht="7.5" customHeight="1" x14ac:dyDescent="0.2"/>
    <row r="9" spans="1:13" ht="22.5" customHeight="1" thickBot="1" x14ac:dyDescent="0.25">
      <c r="A9" s="594" t="s">
        <v>223</v>
      </c>
      <c r="B9" s="595"/>
      <c r="C9" s="595"/>
      <c r="D9" s="595"/>
      <c r="E9" s="595"/>
      <c r="F9" s="595"/>
      <c r="G9" s="595"/>
      <c r="H9" s="595"/>
      <c r="I9" s="596"/>
    </row>
    <row r="10" spans="1:13" ht="22.5" customHeight="1" thickBot="1" x14ac:dyDescent="0.25">
      <c r="A10" s="454" t="s">
        <v>381</v>
      </c>
      <c r="B10" s="823" t="s">
        <v>497</v>
      </c>
      <c r="C10" s="824"/>
      <c r="D10" s="825"/>
      <c r="E10" s="823" t="s">
        <v>498</v>
      </c>
      <c r="F10" s="824"/>
      <c r="G10" s="825"/>
      <c r="H10" s="823" t="s">
        <v>499</v>
      </c>
      <c r="I10" s="824"/>
      <c r="J10" s="825"/>
      <c r="K10" s="823" t="s">
        <v>382</v>
      </c>
      <c r="L10" s="824"/>
      <c r="M10" s="825"/>
    </row>
    <row r="11" spans="1:13" ht="54.75" customHeight="1" thickBot="1" x14ac:dyDescent="0.25">
      <c r="A11" s="455" t="s">
        <v>500</v>
      </c>
      <c r="B11" s="456" t="s">
        <v>399</v>
      </c>
      <c r="C11" s="456" t="s">
        <v>400</v>
      </c>
      <c r="D11" s="457" t="s">
        <v>265</v>
      </c>
      <c r="E11" s="456" t="s">
        <v>399</v>
      </c>
      <c r="F11" s="456" t="s">
        <v>400</v>
      </c>
      <c r="G11" s="457" t="s">
        <v>265</v>
      </c>
      <c r="H11" s="456" t="s">
        <v>399</v>
      </c>
      <c r="I11" s="456" t="s">
        <v>400</v>
      </c>
      <c r="J11" s="457" t="s">
        <v>265</v>
      </c>
      <c r="K11" s="456" t="s">
        <v>399</v>
      </c>
      <c r="L11" s="456" t="s">
        <v>400</v>
      </c>
      <c r="M11" s="457" t="s">
        <v>265</v>
      </c>
    </row>
    <row r="12" spans="1:13" ht="19.5" customHeight="1" thickBot="1" x14ac:dyDescent="0.25">
      <c r="A12" s="458" t="s">
        <v>501</v>
      </c>
      <c r="B12" s="459">
        <v>24</v>
      </c>
      <c r="C12" s="459">
        <v>11</v>
      </c>
      <c r="D12" s="460">
        <v>35</v>
      </c>
      <c r="E12" s="459">
        <v>19</v>
      </c>
      <c r="F12" s="459">
        <v>16</v>
      </c>
      <c r="G12" s="460">
        <v>35</v>
      </c>
      <c r="H12" s="459">
        <v>6</v>
      </c>
      <c r="I12" s="459">
        <v>8</v>
      </c>
      <c r="J12" s="460">
        <v>14</v>
      </c>
      <c r="K12" s="459">
        <v>20</v>
      </c>
      <c r="L12" s="459">
        <v>11</v>
      </c>
      <c r="M12" s="460">
        <v>31</v>
      </c>
    </row>
    <row r="13" spans="1:13" ht="19.5" customHeight="1" thickBot="1" x14ac:dyDescent="0.25">
      <c r="A13" s="458" t="s">
        <v>430</v>
      </c>
      <c r="B13" s="459">
        <v>5</v>
      </c>
      <c r="C13" s="459">
        <v>2</v>
      </c>
      <c r="D13" s="460">
        <v>7</v>
      </c>
      <c r="E13" s="459">
        <v>6</v>
      </c>
      <c r="F13" s="459">
        <v>5</v>
      </c>
      <c r="G13" s="460">
        <v>11</v>
      </c>
      <c r="H13" s="459">
        <v>2</v>
      </c>
      <c r="I13" s="459">
        <v>6</v>
      </c>
      <c r="J13" s="460">
        <v>8</v>
      </c>
      <c r="K13" s="459">
        <v>2</v>
      </c>
      <c r="L13" s="459">
        <v>5</v>
      </c>
      <c r="M13" s="460">
        <v>7</v>
      </c>
    </row>
    <row r="14" spans="1:13" ht="19.5" customHeight="1" thickBot="1" x14ac:dyDescent="0.25">
      <c r="A14" s="458" t="s">
        <v>502</v>
      </c>
      <c r="B14" s="459">
        <v>0</v>
      </c>
      <c r="C14" s="459">
        <v>1</v>
      </c>
      <c r="D14" s="460">
        <v>1</v>
      </c>
      <c r="E14" s="459">
        <v>1</v>
      </c>
      <c r="F14" s="459">
        <v>0</v>
      </c>
      <c r="G14" s="460">
        <v>1</v>
      </c>
      <c r="H14" s="459">
        <v>0</v>
      </c>
      <c r="I14" s="459">
        <v>0</v>
      </c>
      <c r="J14" s="460">
        <v>0</v>
      </c>
      <c r="K14" s="459">
        <v>0</v>
      </c>
      <c r="L14" s="459">
        <v>0</v>
      </c>
      <c r="M14" s="460">
        <v>0</v>
      </c>
    </row>
    <row r="15" spans="1:13" ht="19.5" customHeight="1" thickBot="1" x14ac:dyDescent="0.25">
      <c r="A15" s="458" t="s">
        <v>503</v>
      </c>
      <c r="B15" s="459">
        <v>5</v>
      </c>
      <c r="C15" s="459">
        <v>4</v>
      </c>
      <c r="D15" s="460">
        <v>9</v>
      </c>
      <c r="E15" s="459">
        <v>1</v>
      </c>
      <c r="F15" s="459">
        <v>4</v>
      </c>
      <c r="G15" s="460">
        <v>5</v>
      </c>
      <c r="H15" s="459">
        <v>1</v>
      </c>
      <c r="I15" s="459">
        <v>1</v>
      </c>
      <c r="J15" s="460">
        <v>2</v>
      </c>
      <c r="K15" s="459">
        <v>8</v>
      </c>
      <c r="L15" s="459">
        <v>4</v>
      </c>
      <c r="M15" s="460">
        <v>12</v>
      </c>
    </row>
    <row r="16" spans="1:13" ht="19.5" customHeight="1" thickBot="1" x14ac:dyDescent="0.25">
      <c r="A16" s="458" t="s">
        <v>504</v>
      </c>
      <c r="B16" s="459">
        <v>0</v>
      </c>
      <c r="C16" s="459">
        <v>0</v>
      </c>
      <c r="D16" s="460">
        <v>0</v>
      </c>
      <c r="E16" s="459">
        <v>0</v>
      </c>
      <c r="F16" s="459">
        <v>0</v>
      </c>
      <c r="G16" s="460">
        <v>0</v>
      </c>
      <c r="H16" s="459">
        <v>0</v>
      </c>
      <c r="I16" s="459">
        <v>0</v>
      </c>
      <c r="J16" s="460">
        <v>0</v>
      </c>
      <c r="K16" s="459">
        <v>0</v>
      </c>
      <c r="L16" s="459">
        <v>1</v>
      </c>
      <c r="M16" s="460">
        <v>1</v>
      </c>
    </row>
    <row r="17" spans="1:22" ht="19.5" customHeight="1" thickBot="1" x14ac:dyDescent="0.25">
      <c r="A17" s="461" t="s">
        <v>265</v>
      </c>
      <c r="B17" s="460">
        <v>34</v>
      </c>
      <c r="C17" s="460">
        <v>18</v>
      </c>
      <c r="D17" s="460">
        <v>52</v>
      </c>
      <c r="E17" s="460">
        <v>27</v>
      </c>
      <c r="F17" s="460">
        <v>25</v>
      </c>
      <c r="G17" s="460">
        <v>52</v>
      </c>
      <c r="H17" s="460">
        <v>9</v>
      </c>
      <c r="I17" s="460">
        <v>15</v>
      </c>
      <c r="J17" s="460">
        <v>24</v>
      </c>
      <c r="K17" s="460">
        <v>30</v>
      </c>
      <c r="L17" s="460">
        <v>21</v>
      </c>
      <c r="M17" s="460">
        <v>51</v>
      </c>
    </row>
    <row r="18" spans="1:22" ht="19.5" customHeight="1" thickBot="1" x14ac:dyDescent="0.25">
      <c r="A18" s="458" t="s">
        <v>505</v>
      </c>
      <c r="B18" s="462"/>
      <c r="C18" s="462"/>
      <c r="D18" s="463">
        <v>2072</v>
      </c>
      <c r="E18" s="462"/>
      <c r="F18" s="462"/>
      <c r="G18" s="463">
        <v>2071</v>
      </c>
      <c r="H18" s="462"/>
      <c r="I18" s="462"/>
      <c r="J18" s="463">
        <v>2075</v>
      </c>
      <c r="K18" s="462"/>
      <c r="L18" s="462"/>
      <c r="M18" s="463">
        <v>1980</v>
      </c>
    </row>
    <row r="19" spans="1:22" ht="19.5" customHeight="1" thickBot="1" x14ac:dyDescent="0.25">
      <c r="A19" s="458" t="s">
        <v>320</v>
      </c>
      <c r="B19" s="462" t="s">
        <v>172</v>
      </c>
      <c r="C19" s="462"/>
      <c r="D19" s="466">
        <v>2.5096530000000001</v>
      </c>
      <c r="E19" s="467" t="s">
        <v>172</v>
      </c>
      <c r="F19" s="467" t="s">
        <v>172</v>
      </c>
      <c r="G19" s="466">
        <v>2.5108640000000002</v>
      </c>
      <c r="H19" s="467" t="s">
        <v>172</v>
      </c>
      <c r="I19" s="467" t="s">
        <v>172</v>
      </c>
      <c r="J19" s="466">
        <v>1.1566270000000001</v>
      </c>
      <c r="K19" s="467" t="s">
        <v>172</v>
      </c>
      <c r="L19" s="467" t="s">
        <v>172</v>
      </c>
      <c r="M19" s="466">
        <v>2.575758</v>
      </c>
    </row>
    <row r="20" spans="1:22" ht="19.5" customHeight="1" x14ac:dyDescent="0.2">
      <c r="A20" s="464" t="s">
        <v>506</v>
      </c>
      <c r="B20" s="826">
        <v>1</v>
      </c>
      <c r="C20" s="827"/>
      <c r="D20" s="828"/>
      <c r="E20" s="826">
        <v>1</v>
      </c>
      <c r="F20" s="827"/>
      <c r="G20" s="828"/>
      <c r="H20" s="826">
        <v>1</v>
      </c>
      <c r="I20" s="827"/>
      <c r="J20" s="827"/>
      <c r="K20" s="827">
        <v>1</v>
      </c>
      <c r="L20" s="827"/>
      <c r="M20" s="828"/>
    </row>
    <row r="21" spans="1:22" ht="19.5" customHeight="1" x14ac:dyDescent="0.2">
      <c r="A21" s="465" t="s">
        <v>507</v>
      </c>
      <c r="B21" s="655">
        <v>3</v>
      </c>
      <c r="C21" s="655"/>
      <c r="D21" s="655"/>
      <c r="E21" s="655">
        <v>3</v>
      </c>
      <c r="F21" s="655"/>
      <c r="G21" s="655"/>
      <c r="H21" s="655"/>
      <c r="I21" s="655">
        <v>3</v>
      </c>
      <c r="J21" s="655"/>
      <c r="K21" s="655"/>
      <c r="L21" s="655"/>
      <c r="M21" s="655"/>
    </row>
    <row r="22" spans="1:22" ht="19.5" customHeight="1" thickBot="1" x14ac:dyDescent="0.25"/>
    <row r="23" spans="1:22" ht="19.5" customHeight="1" thickBot="1" x14ac:dyDescent="0.25">
      <c r="H23" s="454" t="s">
        <v>381</v>
      </c>
      <c r="I23" s="468" t="s">
        <v>497</v>
      </c>
      <c r="J23" s="468" t="s">
        <v>498</v>
      </c>
      <c r="K23" s="468" t="s">
        <v>499</v>
      </c>
      <c r="L23" s="468" t="s">
        <v>382</v>
      </c>
    </row>
    <row r="24" spans="1:22" ht="19.5" customHeight="1" thickBot="1" x14ac:dyDescent="0.25">
      <c r="H24" s="455" t="s">
        <v>500</v>
      </c>
      <c r="I24" s="457" t="s">
        <v>265</v>
      </c>
      <c r="J24" s="457" t="s">
        <v>265</v>
      </c>
      <c r="K24" s="457" t="s">
        <v>265</v>
      </c>
      <c r="L24" s="457" t="s">
        <v>265</v>
      </c>
    </row>
    <row r="25" spans="1:22" ht="19.5" customHeight="1" thickBot="1" x14ac:dyDescent="0.25">
      <c r="H25" s="458" t="s">
        <v>501</v>
      </c>
      <c r="I25" s="460">
        <v>35</v>
      </c>
      <c r="J25" s="460">
        <v>35</v>
      </c>
      <c r="K25" s="460">
        <v>14</v>
      </c>
      <c r="L25" s="460">
        <v>31</v>
      </c>
    </row>
    <row r="26" spans="1:22" ht="19.5" customHeight="1" thickBot="1" x14ac:dyDescent="0.25">
      <c r="H26" s="458" t="s">
        <v>430</v>
      </c>
      <c r="I26" s="460">
        <v>7</v>
      </c>
      <c r="J26" s="460">
        <v>11</v>
      </c>
      <c r="K26" s="460">
        <v>8</v>
      </c>
      <c r="L26" s="460">
        <v>7</v>
      </c>
    </row>
    <row r="27" spans="1:22" ht="19.5" customHeight="1" thickBot="1" x14ac:dyDescent="0.25">
      <c r="H27" s="458" t="s">
        <v>502</v>
      </c>
      <c r="I27" s="460">
        <v>1</v>
      </c>
      <c r="J27" s="460">
        <v>1</v>
      </c>
      <c r="K27" s="460">
        <v>0</v>
      </c>
      <c r="L27" s="460">
        <v>0</v>
      </c>
    </row>
    <row r="28" spans="1:22" ht="19.5" customHeight="1" thickBot="1" x14ac:dyDescent="0.25">
      <c r="H28" s="458" t="s">
        <v>503</v>
      </c>
      <c r="I28" s="460">
        <v>9</v>
      </c>
      <c r="J28" s="460">
        <v>5</v>
      </c>
      <c r="K28" s="460">
        <v>2</v>
      </c>
      <c r="L28" s="460">
        <v>12</v>
      </c>
    </row>
    <row r="29" spans="1:22" ht="19.5" customHeight="1" thickBot="1" x14ac:dyDescent="0.25">
      <c r="H29" s="458" t="s">
        <v>504</v>
      </c>
      <c r="I29" s="460">
        <v>0</v>
      </c>
      <c r="J29" s="460">
        <v>0</v>
      </c>
      <c r="K29" s="460">
        <v>0</v>
      </c>
      <c r="L29" s="460">
        <v>1</v>
      </c>
    </row>
    <row r="30" spans="1:22" ht="19.5" customHeight="1" thickBot="1" x14ac:dyDescent="0.25">
      <c r="H30" s="461" t="s">
        <v>265</v>
      </c>
      <c r="I30" s="460">
        <v>52</v>
      </c>
      <c r="J30" s="460">
        <v>52</v>
      </c>
      <c r="K30" s="460">
        <v>24</v>
      </c>
      <c r="L30" s="460">
        <v>51</v>
      </c>
      <c r="V30" s="470" t="s">
        <v>172</v>
      </c>
    </row>
    <row r="31" spans="1:22" ht="19.5" customHeight="1" thickBot="1" x14ac:dyDescent="0.25">
      <c r="H31" s="458" t="s">
        <v>505</v>
      </c>
      <c r="I31" s="463">
        <v>2072</v>
      </c>
      <c r="J31" s="463">
        <v>2071</v>
      </c>
      <c r="K31" s="463">
        <v>2075</v>
      </c>
      <c r="L31" s="463">
        <v>1980</v>
      </c>
    </row>
    <row r="32" spans="1:22" ht="19.5" customHeight="1" x14ac:dyDescent="0.2">
      <c r="H32" s="464" t="s">
        <v>320</v>
      </c>
      <c r="I32" s="469">
        <v>2.5096530000000001</v>
      </c>
      <c r="J32" s="469">
        <v>2.5108640000000002</v>
      </c>
      <c r="K32" s="469">
        <v>1.1566270000000001</v>
      </c>
      <c r="L32" s="469">
        <v>2.575758</v>
      </c>
    </row>
    <row r="33" spans="8:12" ht="19.5" customHeight="1" x14ac:dyDescent="0.2">
      <c r="H33" s="465" t="s">
        <v>625</v>
      </c>
      <c r="I33" s="472">
        <v>3</v>
      </c>
      <c r="J33" s="472">
        <v>3</v>
      </c>
      <c r="K33" s="472">
        <v>3</v>
      </c>
      <c r="L33" s="472">
        <v>3</v>
      </c>
    </row>
    <row r="34" spans="8:12" ht="19.5" customHeight="1" x14ac:dyDescent="0.2">
      <c r="H34" s="465" t="s">
        <v>506</v>
      </c>
      <c r="I34" s="471">
        <v>1</v>
      </c>
      <c r="J34" s="471">
        <v>1</v>
      </c>
      <c r="K34" s="471">
        <v>1</v>
      </c>
      <c r="L34" s="471">
        <v>1</v>
      </c>
    </row>
  </sheetData>
  <sheetProtection sheet="1" formatCells="0" formatColumns="0" formatRows="0" insertColumns="0" insertRows="0" insertHyperlinks="0" deleteColumns="0" deleteRows="0" pivotTables="0"/>
  <mergeCells count="27">
    <mergeCell ref="B10:D10"/>
    <mergeCell ref="E10:G10"/>
    <mergeCell ref="H10:J10"/>
    <mergeCell ref="K10:M10"/>
    <mergeCell ref="B21:D21"/>
    <mergeCell ref="E21:H21"/>
    <mergeCell ref="I21:M21"/>
    <mergeCell ref="E20:G20"/>
    <mergeCell ref="B20:D20"/>
    <mergeCell ref="H20:J20"/>
    <mergeCell ref="K20:M20"/>
    <mergeCell ref="A7:B7"/>
    <mergeCell ref="C7:I7"/>
    <mergeCell ref="A9:I9"/>
    <mergeCell ref="A5:B5"/>
    <mergeCell ref="C5:D5"/>
    <mergeCell ref="E5:F5"/>
    <mergeCell ref="G5:I5"/>
    <mergeCell ref="A6:B6"/>
    <mergeCell ref="C6:D6"/>
    <mergeCell ref="E6:F6"/>
    <mergeCell ref="A2:C2"/>
    <mergeCell ref="D2:I2"/>
    <mergeCell ref="A4:B4"/>
    <mergeCell ref="C4:D4"/>
    <mergeCell ref="E4:F4"/>
    <mergeCell ref="G4:I4"/>
  </mergeCells>
  <pageMargins left="0.7" right="0.7" top="0.75" bottom="0.75" header="0" footer="0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3B34B-8ED1-4E4B-8188-7D67BD0A0369}">
  <sheetPr>
    <tabColor theme="9" tint="-0.499984740745262"/>
    <pageSetUpPr fitToPage="1"/>
  </sheetPr>
  <dimension ref="A2:V34"/>
  <sheetViews>
    <sheetView showGridLines="0" topLeftCell="A18" zoomScale="95" zoomScaleNormal="95" workbookViewId="0">
      <selection activeCell="I23" sqref="I23"/>
    </sheetView>
  </sheetViews>
  <sheetFormatPr defaultColWidth="12.5703125" defaultRowHeight="15.75" customHeight="1" x14ac:dyDescent="0.2"/>
  <cols>
    <col min="1" max="1" width="14.140625" customWidth="1"/>
    <col min="2" max="2" width="14.85546875" customWidth="1"/>
    <col min="3" max="3" width="17.28515625" bestFit="1" customWidth="1"/>
    <col min="4" max="8" width="12.5703125" customWidth="1"/>
    <col min="9" max="9" width="13.5703125" customWidth="1"/>
    <col min="10" max="10" width="8.85546875" customWidth="1"/>
    <col min="11" max="17" width="7.5703125" customWidth="1"/>
    <col min="18" max="18" width="16" bestFit="1" customWidth="1"/>
    <col min="19" max="20" width="10" bestFit="1" customWidth="1"/>
  </cols>
  <sheetData>
    <row r="2" spans="1:22" ht="55.5" customHeight="1" x14ac:dyDescent="0.2">
      <c r="A2" s="670"/>
      <c r="B2" s="671"/>
      <c r="C2" s="672"/>
      <c r="D2" s="673" t="s">
        <v>213</v>
      </c>
      <c r="E2" s="671"/>
      <c r="F2" s="671"/>
      <c r="G2" s="671"/>
      <c r="H2" s="671"/>
      <c r="I2" s="672"/>
      <c r="J2" s="3"/>
    </row>
    <row r="3" spans="1:22" ht="22.5" customHeight="1" x14ac:dyDescent="0.2">
      <c r="A3" s="46"/>
      <c r="B3" s="46"/>
      <c r="C3" s="47"/>
      <c r="D3" s="47"/>
      <c r="E3" s="47"/>
      <c r="F3" s="47"/>
      <c r="G3" s="47"/>
      <c r="H3" s="47"/>
    </row>
    <row r="4" spans="1:22" ht="42" customHeight="1" x14ac:dyDescent="0.2">
      <c r="A4" s="594" t="s">
        <v>214</v>
      </c>
      <c r="B4" s="596"/>
      <c r="C4" s="674" t="str">
        <f>Índex!B44</f>
        <v>PC3.03_Ind05</v>
      </c>
      <c r="D4" s="672"/>
      <c r="E4" s="594" t="s">
        <v>215</v>
      </c>
      <c r="F4" s="596"/>
      <c r="G4" s="674" t="str">
        <f>Índex!C44</f>
        <v>Percentatge d’alumnat sortint per mitjà de programes de mobilitat (outgoing_ Graus)</v>
      </c>
      <c r="H4" s="671"/>
      <c r="I4" s="672"/>
    </row>
    <row r="5" spans="1:22" ht="22.5" customHeight="1" x14ac:dyDescent="0.2">
      <c r="A5" s="594" t="s">
        <v>216</v>
      </c>
      <c r="B5" s="596"/>
      <c r="C5" s="817" t="str">
        <f>Índex!F44</f>
        <v>&lt;6</v>
      </c>
      <c r="D5" s="814"/>
      <c r="E5" s="732" t="s">
        <v>217</v>
      </c>
      <c r="F5" s="596"/>
      <c r="G5" s="775" t="s">
        <v>241</v>
      </c>
      <c r="H5" s="671"/>
      <c r="I5" s="636"/>
    </row>
    <row r="6" spans="1:22" ht="22.5" customHeight="1" x14ac:dyDescent="0.2">
      <c r="A6" s="594" t="s">
        <v>219</v>
      </c>
      <c r="B6" s="596"/>
      <c r="C6" s="674" t="s">
        <v>220</v>
      </c>
      <c r="D6" s="672"/>
      <c r="E6" s="594" t="s">
        <v>242</v>
      </c>
      <c r="F6" s="596"/>
      <c r="G6" s="12" t="str">
        <f>Índex!E44</f>
        <v>Gestora de Qualitat</v>
      </c>
      <c r="I6" s="108"/>
    </row>
    <row r="7" spans="1:22" ht="22.5" customHeight="1" x14ac:dyDescent="0.2">
      <c r="A7" s="594" t="s">
        <v>222</v>
      </c>
      <c r="B7" s="596"/>
      <c r="C7" s="674" t="str">
        <f>Índex!G44</f>
        <v>PC3.03. Mobilitat de l’Alumnat</v>
      </c>
      <c r="D7" s="671"/>
      <c r="E7" s="671"/>
      <c r="F7" s="671"/>
      <c r="G7" s="671"/>
      <c r="H7" s="671"/>
      <c r="I7" s="672"/>
    </row>
    <row r="8" spans="1:22" ht="7.5" customHeight="1" x14ac:dyDescent="0.2"/>
    <row r="9" spans="1:22" ht="22.5" customHeight="1" x14ac:dyDescent="0.2">
      <c r="A9" s="594" t="s">
        <v>223</v>
      </c>
      <c r="B9" s="595"/>
      <c r="C9" s="595"/>
      <c r="D9" s="595"/>
      <c r="E9" s="595"/>
      <c r="F9" s="595"/>
      <c r="G9" s="595"/>
      <c r="H9" s="595"/>
      <c r="I9" s="596"/>
    </row>
    <row r="10" spans="1:22" s="257" customFormat="1" ht="22.5" customHeight="1" thickBot="1" x14ac:dyDescent="0.25">
      <c r="A10" s="370"/>
      <c r="B10" s="371"/>
      <c r="C10" s="371"/>
      <c r="D10" s="371"/>
      <c r="E10" s="371"/>
      <c r="F10" s="371"/>
      <c r="G10" s="371"/>
      <c r="H10" s="371"/>
      <c r="I10" s="371"/>
    </row>
    <row r="11" spans="1:22" s="257" customFormat="1" ht="22.5" customHeight="1" thickBot="1" x14ac:dyDescent="0.25">
      <c r="A11" s="526" t="s">
        <v>381</v>
      </c>
      <c r="B11" s="833" t="s">
        <v>497</v>
      </c>
      <c r="C11" s="834"/>
      <c r="D11" s="834"/>
      <c r="E11" s="835"/>
      <c r="F11" s="833" t="s">
        <v>498</v>
      </c>
      <c r="G11" s="834"/>
      <c r="H11" s="834"/>
      <c r="I11" s="835"/>
      <c r="J11" s="833" t="s">
        <v>499</v>
      </c>
      <c r="K11" s="834"/>
      <c r="L11" s="834"/>
      <c r="M11" s="835"/>
      <c r="N11" s="833" t="s">
        <v>382</v>
      </c>
      <c r="O11" s="834"/>
      <c r="P11" s="834"/>
      <c r="Q11" s="835"/>
      <c r="S11" s="562" t="s">
        <v>229</v>
      </c>
      <c r="T11" s="562" t="s">
        <v>228</v>
      </c>
      <c r="U11" s="562" t="s">
        <v>227</v>
      </c>
      <c r="V11" s="562" t="s">
        <v>226</v>
      </c>
    </row>
    <row r="12" spans="1:22" s="257" customFormat="1" ht="22.5" customHeight="1" thickBot="1" x14ac:dyDescent="0.25">
      <c r="A12" s="527" t="s">
        <v>500</v>
      </c>
      <c r="B12" s="528" t="s">
        <v>399</v>
      </c>
      <c r="C12" s="528" t="s">
        <v>400</v>
      </c>
      <c r="D12" s="528" t="s">
        <v>265</v>
      </c>
      <c r="E12" s="529" t="s">
        <v>508</v>
      </c>
      <c r="F12" s="529" t="s">
        <v>399</v>
      </c>
      <c r="G12" s="535" t="s">
        <v>400</v>
      </c>
      <c r="H12" s="538" t="s">
        <v>265</v>
      </c>
      <c r="I12" s="529" t="s">
        <v>508</v>
      </c>
      <c r="J12" s="528" t="s">
        <v>399</v>
      </c>
      <c r="K12" s="535" t="s">
        <v>400</v>
      </c>
      <c r="L12" s="539" t="s">
        <v>265</v>
      </c>
      <c r="M12" s="529" t="s">
        <v>508</v>
      </c>
      <c r="N12" s="529" t="s">
        <v>399</v>
      </c>
      <c r="O12" s="528" t="s">
        <v>509</v>
      </c>
      <c r="P12" s="528" t="s">
        <v>265</v>
      </c>
      <c r="Q12" s="560" t="s">
        <v>508</v>
      </c>
      <c r="R12" s="559" t="s">
        <v>265</v>
      </c>
      <c r="S12" s="563">
        <v>6.08</v>
      </c>
      <c r="T12" s="563">
        <v>5.79</v>
      </c>
      <c r="U12" s="563">
        <v>2.31</v>
      </c>
      <c r="V12" s="563">
        <v>3.38</v>
      </c>
    </row>
    <row r="13" spans="1:22" s="257" customFormat="1" ht="22.5" customHeight="1" thickBot="1" x14ac:dyDescent="0.25">
      <c r="A13" s="255" t="s">
        <v>244</v>
      </c>
      <c r="B13" s="530">
        <v>9</v>
      </c>
      <c r="C13" s="530">
        <v>3</v>
      </c>
      <c r="D13" s="530">
        <v>12</v>
      </c>
      <c r="E13" s="530">
        <v>0.56999999999999995</v>
      </c>
      <c r="F13" s="530">
        <v>19</v>
      </c>
      <c r="G13" s="530">
        <v>7</v>
      </c>
      <c r="H13" s="530">
        <v>26</v>
      </c>
      <c r="I13" s="530">
        <v>1.25</v>
      </c>
      <c r="J13" s="530">
        <v>5</v>
      </c>
      <c r="K13" s="530">
        <v>2</v>
      </c>
      <c r="L13" s="530">
        <v>7</v>
      </c>
      <c r="M13" s="530">
        <v>0.33</v>
      </c>
      <c r="N13" s="530">
        <v>11</v>
      </c>
      <c r="O13" s="530">
        <v>1</v>
      </c>
      <c r="P13" s="530">
        <v>12</v>
      </c>
      <c r="Q13" s="561">
        <v>0.60599999999999998</v>
      </c>
      <c r="R13" s="559" t="s">
        <v>626</v>
      </c>
      <c r="S13" s="564">
        <v>6</v>
      </c>
      <c r="T13" s="564">
        <v>6</v>
      </c>
      <c r="U13" s="564">
        <v>6</v>
      </c>
      <c r="V13" s="564">
        <v>6</v>
      </c>
    </row>
    <row r="14" spans="1:22" s="257" customFormat="1" ht="22.5" customHeight="1" thickBot="1" x14ac:dyDescent="0.25">
      <c r="A14" s="255" t="s">
        <v>246</v>
      </c>
      <c r="B14" s="530">
        <v>0</v>
      </c>
      <c r="C14" s="530">
        <v>0</v>
      </c>
      <c r="D14" s="530">
        <v>0</v>
      </c>
      <c r="E14" s="530">
        <v>0</v>
      </c>
      <c r="F14" s="530">
        <v>1</v>
      </c>
      <c r="G14" s="530">
        <v>1</v>
      </c>
      <c r="H14" s="530">
        <v>2</v>
      </c>
      <c r="I14" s="530">
        <v>9.6000000000000002E-2</v>
      </c>
      <c r="J14" s="530">
        <v>0</v>
      </c>
      <c r="K14" s="530">
        <v>1</v>
      </c>
      <c r="L14" s="530">
        <v>1</v>
      </c>
      <c r="M14" s="530">
        <v>0.04</v>
      </c>
      <c r="N14" s="530">
        <v>1</v>
      </c>
      <c r="O14" s="530">
        <v>3</v>
      </c>
      <c r="P14" s="530">
        <v>4</v>
      </c>
      <c r="Q14" s="530">
        <v>0.20200000000000001</v>
      </c>
    </row>
    <row r="15" spans="1:22" s="257" customFormat="1" ht="22.5" customHeight="1" thickBot="1" x14ac:dyDescent="0.25">
      <c r="A15" s="255" t="s">
        <v>253</v>
      </c>
      <c r="B15" s="530">
        <v>9</v>
      </c>
      <c r="C15" s="530">
        <v>11</v>
      </c>
      <c r="D15" s="530">
        <v>20</v>
      </c>
      <c r="E15" s="530">
        <v>0.96</v>
      </c>
      <c r="F15" s="530">
        <v>2</v>
      </c>
      <c r="G15" s="530">
        <v>9</v>
      </c>
      <c r="H15" s="530">
        <v>11</v>
      </c>
      <c r="I15" s="530">
        <v>0.53</v>
      </c>
      <c r="J15" s="530">
        <v>4</v>
      </c>
      <c r="K15" s="530">
        <v>8</v>
      </c>
      <c r="L15" s="530">
        <v>12</v>
      </c>
      <c r="M15" s="530">
        <v>0.56999999999999995</v>
      </c>
      <c r="N15" s="530">
        <v>11</v>
      </c>
      <c r="O15" s="530">
        <v>9</v>
      </c>
      <c r="P15" s="530">
        <v>20</v>
      </c>
      <c r="Q15" s="530">
        <v>1.01</v>
      </c>
    </row>
    <row r="16" spans="1:22" s="257" customFormat="1" ht="22.5" customHeight="1" thickBot="1" x14ac:dyDescent="0.25">
      <c r="A16" s="255" t="s">
        <v>254</v>
      </c>
      <c r="B16" s="530">
        <v>6</v>
      </c>
      <c r="C16" s="530">
        <v>5</v>
      </c>
      <c r="D16" s="530">
        <v>11</v>
      </c>
      <c r="E16" s="530">
        <v>0.53</v>
      </c>
      <c r="F16" s="530">
        <v>8</v>
      </c>
      <c r="G16" s="530">
        <v>6</v>
      </c>
      <c r="H16" s="530">
        <v>14</v>
      </c>
      <c r="I16" s="530">
        <v>0.67</v>
      </c>
      <c r="J16" s="530">
        <v>3</v>
      </c>
      <c r="K16" s="530">
        <v>3</v>
      </c>
      <c r="L16" s="530">
        <v>6</v>
      </c>
      <c r="M16" s="530">
        <v>0.28000000000000003</v>
      </c>
      <c r="N16" s="530">
        <v>0</v>
      </c>
      <c r="O16" s="530">
        <v>6</v>
      </c>
      <c r="P16" s="530">
        <v>6</v>
      </c>
      <c r="Q16" s="530">
        <v>0.3</v>
      </c>
    </row>
    <row r="17" spans="1:17" s="257" customFormat="1" ht="22.5" customHeight="1" thickBot="1" x14ac:dyDescent="0.25">
      <c r="A17" s="255" t="s">
        <v>251</v>
      </c>
      <c r="B17" s="530">
        <v>9</v>
      </c>
      <c r="C17" s="530">
        <v>4</v>
      </c>
      <c r="D17" s="530">
        <v>13</v>
      </c>
      <c r="E17" s="530">
        <v>0.62</v>
      </c>
      <c r="F17" s="530">
        <v>0</v>
      </c>
      <c r="G17" s="530">
        <v>3</v>
      </c>
      <c r="H17" s="530">
        <v>3</v>
      </c>
      <c r="I17" s="530">
        <v>0.14000000000000001</v>
      </c>
      <c r="J17" s="530">
        <v>0</v>
      </c>
      <c r="K17" s="530">
        <v>1</v>
      </c>
      <c r="L17" s="530">
        <v>1</v>
      </c>
      <c r="M17" s="530">
        <v>4.8000000000000001E-2</v>
      </c>
      <c r="N17" s="530">
        <v>0</v>
      </c>
      <c r="O17" s="530">
        <v>0</v>
      </c>
      <c r="P17" s="530">
        <v>0</v>
      </c>
      <c r="Q17" s="530">
        <v>0</v>
      </c>
    </row>
    <row r="18" spans="1:17" s="257" customFormat="1" ht="22.5" customHeight="1" thickBot="1" x14ac:dyDescent="0.25">
      <c r="A18" s="255" t="s">
        <v>246</v>
      </c>
      <c r="B18" s="530">
        <v>1</v>
      </c>
      <c r="C18" s="530">
        <v>2</v>
      </c>
      <c r="D18" s="530">
        <v>3</v>
      </c>
      <c r="E18" s="530">
        <v>0.14000000000000001</v>
      </c>
      <c r="F18" s="530">
        <v>1</v>
      </c>
      <c r="G18" s="530">
        <v>0</v>
      </c>
      <c r="H18" s="530">
        <v>1</v>
      </c>
      <c r="I18" s="530">
        <v>0.04</v>
      </c>
      <c r="J18" s="530">
        <v>1</v>
      </c>
      <c r="K18" s="530">
        <v>0</v>
      </c>
      <c r="L18" s="530">
        <v>1</v>
      </c>
      <c r="M18" s="530">
        <v>4.8000000000000001E-2</v>
      </c>
      <c r="N18" s="530">
        <v>2</v>
      </c>
      <c r="O18" s="530">
        <v>0</v>
      </c>
      <c r="P18" s="530">
        <v>2</v>
      </c>
      <c r="Q18" s="530" t="s">
        <v>510</v>
      </c>
    </row>
    <row r="19" spans="1:17" s="257" customFormat="1" ht="22.5" customHeight="1" thickBot="1" x14ac:dyDescent="0.25">
      <c r="A19" s="255" t="s">
        <v>336</v>
      </c>
      <c r="B19" s="530">
        <v>3</v>
      </c>
      <c r="C19" s="530">
        <v>4</v>
      </c>
      <c r="D19" s="530">
        <v>7</v>
      </c>
      <c r="E19" s="530">
        <v>0.33</v>
      </c>
      <c r="F19" s="530">
        <v>0</v>
      </c>
      <c r="G19" s="530">
        <v>0</v>
      </c>
      <c r="H19" s="530">
        <v>0</v>
      </c>
      <c r="I19" s="530">
        <v>0</v>
      </c>
      <c r="J19" s="530">
        <v>0</v>
      </c>
      <c r="K19" s="530">
        <v>0</v>
      </c>
      <c r="L19" s="530">
        <v>0</v>
      </c>
      <c r="M19" s="530">
        <v>0</v>
      </c>
      <c r="N19" s="530">
        <v>0</v>
      </c>
      <c r="O19" s="530">
        <v>0</v>
      </c>
      <c r="P19" s="530">
        <v>0</v>
      </c>
      <c r="Q19" s="530">
        <v>0</v>
      </c>
    </row>
    <row r="20" spans="1:17" s="257" customFormat="1" ht="22.5" customHeight="1" thickBot="1" x14ac:dyDescent="0.25">
      <c r="A20" s="255" t="s">
        <v>337</v>
      </c>
      <c r="B20" s="530">
        <v>1</v>
      </c>
      <c r="C20" s="530">
        <v>1</v>
      </c>
      <c r="D20" s="530">
        <v>2</v>
      </c>
      <c r="E20" s="530">
        <v>0.09</v>
      </c>
      <c r="F20" s="530">
        <v>0</v>
      </c>
      <c r="G20" s="530">
        <v>0</v>
      </c>
      <c r="H20" s="530">
        <v>0</v>
      </c>
      <c r="I20" s="530">
        <v>0</v>
      </c>
      <c r="J20" s="530">
        <v>0</v>
      </c>
      <c r="K20" s="530">
        <v>0</v>
      </c>
      <c r="L20" s="530">
        <v>0</v>
      </c>
      <c r="M20" s="530">
        <v>0</v>
      </c>
      <c r="N20" s="530">
        <v>1</v>
      </c>
      <c r="O20" s="530">
        <v>0</v>
      </c>
      <c r="P20" s="530">
        <v>1</v>
      </c>
      <c r="Q20" s="530">
        <v>0.05</v>
      </c>
    </row>
    <row r="21" spans="1:17" s="257" customFormat="1" ht="22.5" customHeight="1" thickBot="1" x14ac:dyDescent="0.25">
      <c r="A21" s="255" t="s">
        <v>261</v>
      </c>
      <c r="B21" s="530">
        <v>8</v>
      </c>
      <c r="C21" s="530">
        <v>4</v>
      </c>
      <c r="D21" s="530">
        <v>12</v>
      </c>
      <c r="E21" s="530">
        <v>0.57915099999999997</v>
      </c>
      <c r="F21" s="530">
        <v>2</v>
      </c>
      <c r="G21" s="530">
        <v>3</v>
      </c>
      <c r="H21" s="530">
        <v>5</v>
      </c>
      <c r="I21" s="530">
        <v>0.24099999999999999</v>
      </c>
      <c r="J21" s="530">
        <v>1</v>
      </c>
      <c r="K21" s="530">
        <v>1</v>
      </c>
      <c r="L21" s="530">
        <v>2</v>
      </c>
      <c r="M21" s="530">
        <v>9.6000000000000002E-2</v>
      </c>
      <c r="N21" s="530">
        <v>1</v>
      </c>
      <c r="O21" s="530">
        <v>0</v>
      </c>
      <c r="P21" s="530">
        <v>1</v>
      </c>
      <c r="Q21" s="530">
        <v>0.05</v>
      </c>
    </row>
    <row r="22" spans="1:17" s="257" customFormat="1" ht="22.5" customHeight="1" thickBot="1" x14ac:dyDescent="0.25">
      <c r="A22" s="255" t="s">
        <v>511</v>
      </c>
      <c r="B22" s="530">
        <v>0</v>
      </c>
      <c r="C22" s="530">
        <v>1</v>
      </c>
      <c r="D22" s="530">
        <v>1</v>
      </c>
      <c r="E22" s="530">
        <v>4.8000000000000001E-2</v>
      </c>
      <c r="F22" s="530">
        <v>0</v>
      </c>
      <c r="G22" s="530">
        <v>0</v>
      </c>
      <c r="H22" s="530">
        <v>0</v>
      </c>
      <c r="I22" s="530">
        <v>0</v>
      </c>
      <c r="J22" s="530">
        <v>0</v>
      </c>
      <c r="K22" s="530">
        <v>0</v>
      </c>
      <c r="L22" s="530">
        <v>0</v>
      </c>
      <c r="M22" s="530">
        <v>0</v>
      </c>
      <c r="N22" s="530">
        <v>0</v>
      </c>
      <c r="O22" s="530">
        <v>0</v>
      </c>
      <c r="P22" s="530">
        <v>0</v>
      </c>
      <c r="Q22" s="530">
        <v>0</v>
      </c>
    </row>
    <row r="23" spans="1:17" s="257" customFormat="1" ht="22.5" customHeight="1" thickBot="1" x14ac:dyDescent="0.25">
      <c r="A23" s="531" t="s">
        <v>265</v>
      </c>
      <c r="B23" s="530">
        <v>69</v>
      </c>
      <c r="C23" s="530">
        <v>57</v>
      </c>
      <c r="D23" s="530">
        <v>126</v>
      </c>
      <c r="E23" s="532">
        <v>6.08</v>
      </c>
      <c r="F23" s="530">
        <v>59</v>
      </c>
      <c r="G23" s="530">
        <v>61</v>
      </c>
      <c r="H23" s="530">
        <v>120</v>
      </c>
      <c r="I23" s="532">
        <v>5.79</v>
      </c>
      <c r="J23" s="530">
        <v>24</v>
      </c>
      <c r="K23" s="530">
        <v>24</v>
      </c>
      <c r="L23" s="530">
        <v>48</v>
      </c>
      <c r="M23" s="532">
        <v>2.31</v>
      </c>
      <c r="N23" s="530">
        <v>39</v>
      </c>
      <c r="O23" s="530">
        <v>28</v>
      </c>
      <c r="P23" s="530">
        <v>67</v>
      </c>
      <c r="Q23" s="532">
        <v>3.38</v>
      </c>
    </row>
    <row r="24" spans="1:17" s="257" customFormat="1" ht="22.5" customHeight="1" thickBot="1" x14ac:dyDescent="0.25">
      <c r="A24" s="531" t="s">
        <v>512</v>
      </c>
      <c r="B24" s="829">
        <v>2072</v>
      </c>
      <c r="C24" s="830"/>
      <c r="D24" s="830"/>
      <c r="E24" s="831"/>
      <c r="F24" s="832">
        <v>2071</v>
      </c>
      <c r="G24" s="830"/>
      <c r="H24" s="830"/>
      <c r="I24" s="831"/>
      <c r="J24" s="832">
        <v>2075</v>
      </c>
      <c r="K24" s="830"/>
      <c r="L24" s="831"/>
      <c r="M24" s="533"/>
      <c r="N24" s="829">
        <v>1980</v>
      </c>
      <c r="O24" s="830"/>
      <c r="P24" s="830"/>
      <c r="Q24" s="831"/>
    </row>
    <row r="25" spans="1:17" s="257" customFormat="1" ht="22.5" customHeight="1" thickBot="1" x14ac:dyDescent="0.25">
      <c r="A25" s="531" t="s">
        <v>513</v>
      </c>
      <c r="B25" s="829" t="s">
        <v>119</v>
      </c>
      <c r="C25" s="830"/>
      <c r="D25" s="830"/>
      <c r="E25" s="831"/>
      <c r="F25" s="832" t="s">
        <v>119</v>
      </c>
      <c r="G25" s="830"/>
      <c r="H25" s="830"/>
      <c r="I25" s="831"/>
      <c r="J25" s="832" t="s">
        <v>119</v>
      </c>
      <c r="K25" s="830"/>
      <c r="L25" s="830"/>
      <c r="M25" s="831"/>
      <c r="N25" s="832" t="s">
        <v>119</v>
      </c>
      <c r="O25" s="830"/>
      <c r="P25" s="830"/>
      <c r="Q25" s="831"/>
    </row>
    <row r="26" spans="1:17" s="257" customFormat="1" ht="22.5" customHeight="1" thickBot="1" x14ac:dyDescent="0.25">
      <c r="A26" s="531" t="s">
        <v>240</v>
      </c>
      <c r="B26" s="533"/>
      <c r="C26" s="533"/>
      <c r="D26" s="533"/>
      <c r="E26" s="536">
        <v>1</v>
      </c>
      <c r="F26" s="537"/>
      <c r="G26" s="537"/>
      <c r="H26" s="537"/>
      <c r="I26" s="536">
        <v>1</v>
      </c>
      <c r="J26" s="533"/>
      <c r="K26" s="533"/>
      <c r="L26" s="533"/>
      <c r="M26" s="530" t="s">
        <v>514</v>
      </c>
      <c r="N26" s="533"/>
      <c r="O26" s="533"/>
      <c r="P26" s="533"/>
      <c r="Q26" s="534">
        <v>1</v>
      </c>
    </row>
    <row r="34" spans="22:22" ht="19.5" customHeight="1" x14ac:dyDescent="0.2">
      <c r="V34" s="470" t="s">
        <v>172</v>
      </c>
    </row>
  </sheetData>
  <sheetProtection algorithmName="SHA-512" hashValue="iV4oqQEPsQPARWcKOin2n0oJeDbFR9UMsxQ6kgz3jlqmx+KJdFPGJPauG5bbmYBmaUohTGFVkqkjY+zT1D1Cbg==" saltValue="kfbV4wDVRQn7nT8nE3KSxg==" spinCount="100000" sheet="1" formatCells="0" formatColumns="0" formatRows="0" insertColumns="0" insertRows="0" insertHyperlinks="0" deleteColumns="0" deleteRows="0" pivotTables="0"/>
  <mergeCells count="28">
    <mergeCell ref="A2:C2"/>
    <mergeCell ref="D2:I2"/>
    <mergeCell ref="A4:B4"/>
    <mergeCell ref="C4:D4"/>
    <mergeCell ref="E4:F4"/>
    <mergeCell ref="G4:I4"/>
    <mergeCell ref="A7:B7"/>
    <mergeCell ref="C7:I7"/>
    <mergeCell ref="A9:I9"/>
    <mergeCell ref="A5:B5"/>
    <mergeCell ref="C5:D5"/>
    <mergeCell ref="E5:F5"/>
    <mergeCell ref="G5:I5"/>
    <mergeCell ref="A6:B6"/>
    <mergeCell ref="C6:D6"/>
    <mergeCell ref="E6:F6"/>
    <mergeCell ref="B25:E25"/>
    <mergeCell ref="F25:I25"/>
    <mergeCell ref="J25:M25"/>
    <mergeCell ref="N25:Q25"/>
    <mergeCell ref="F11:I11"/>
    <mergeCell ref="J11:M11"/>
    <mergeCell ref="N11:Q11"/>
    <mergeCell ref="B11:E11"/>
    <mergeCell ref="B24:E24"/>
    <mergeCell ref="F24:I24"/>
    <mergeCell ref="J24:L24"/>
    <mergeCell ref="N24:Q24"/>
  </mergeCells>
  <pageMargins left="0.7" right="0.7" top="0.75" bottom="0.75" header="0" footer="0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9A63A-B3D2-406B-9AFC-11A1F40BB37C}">
  <sheetPr>
    <tabColor theme="9" tint="-0.499984740745262"/>
    <pageSetUpPr fitToPage="1"/>
  </sheetPr>
  <dimension ref="B2:K48"/>
  <sheetViews>
    <sheetView showGridLines="0" topLeftCell="A39" workbookViewId="0">
      <selection activeCell="L49" sqref="L49"/>
    </sheetView>
  </sheetViews>
  <sheetFormatPr defaultColWidth="12.5703125" defaultRowHeight="15.75" customHeight="1" x14ac:dyDescent="0.2"/>
  <cols>
    <col min="1" max="1" width="3.42578125" customWidth="1"/>
    <col min="2" max="2" width="14.140625" customWidth="1"/>
    <col min="3" max="3" width="12.5703125" customWidth="1"/>
    <col min="4" max="4" width="17.28515625" bestFit="1" customWidth="1"/>
    <col min="5" max="9" width="12.5703125" customWidth="1"/>
    <col min="10" max="10" width="36.28515625" customWidth="1"/>
    <col min="11" max="20" width="7.5703125" customWidth="1"/>
  </cols>
  <sheetData>
    <row r="2" spans="2:10" ht="55.5" customHeight="1" x14ac:dyDescent="0.2">
      <c r="B2" s="670"/>
      <c r="C2" s="671"/>
      <c r="D2" s="672"/>
      <c r="E2" s="673" t="s">
        <v>213</v>
      </c>
      <c r="F2" s="671"/>
      <c r="G2" s="671"/>
      <c r="H2" s="671"/>
      <c r="I2" s="671"/>
      <c r="J2" s="672"/>
    </row>
    <row r="3" spans="2:10" ht="22.5" customHeight="1" x14ac:dyDescent="0.2">
      <c r="B3" s="46"/>
      <c r="C3" s="46"/>
      <c r="D3" s="47"/>
      <c r="E3" s="47"/>
      <c r="F3" s="47"/>
      <c r="G3" s="47"/>
      <c r="H3" s="47"/>
      <c r="I3" s="47"/>
    </row>
    <row r="4" spans="2:10" ht="42" customHeight="1" x14ac:dyDescent="0.2">
      <c r="B4" s="594" t="s">
        <v>214</v>
      </c>
      <c r="C4" s="596"/>
      <c r="D4" s="674" t="str">
        <f>Índex!B45</f>
        <v>PC3.04_Ind01.</v>
      </c>
      <c r="E4" s="672"/>
      <c r="F4" s="594" t="s">
        <v>215</v>
      </c>
      <c r="G4" s="596"/>
      <c r="H4" s="674" t="str">
        <f>Índex!C45</f>
        <v xml:space="preserve">Taxa de rendiment per curs acadèmic i titulació  </v>
      </c>
      <c r="I4" s="671"/>
      <c r="J4" s="672"/>
    </row>
    <row r="5" spans="2:10" ht="22.5" customHeight="1" x14ac:dyDescent="0.2">
      <c r="B5" s="594" t="s">
        <v>323</v>
      </c>
      <c r="C5" s="596"/>
      <c r="D5" s="674" t="str">
        <f>Índex!F45</f>
        <v>≥ 80%</v>
      </c>
      <c r="E5" s="672"/>
      <c r="F5" s="732" t="s">
        <v>217</v>
      </c>
      <c r="G5" s="596"/>
      <c r="H5" s="775" t="s">
        <v>218</v>
      </c>
      <c r="I5" s="671"/>
      <c r="J5" s="636"/>
    </row>
    <row r="6" spans="2:10" ht="22.5" customHeight="1" x14ac:dyDescent="0.2">
      <c r="B6" s="594" t="s">
        <v>219</v>
      </c>
      <c r="C6" s="596"/>
      <c r="D6" s="674" t="s">
        <v>220</v>
      </c>
      <c r="E6" s="672"/>
      <c r="F6" s="594" t="s">
        <v>242</v>
      </c>
      <c r="G6" s="596"/>
      <c r="H6" s="127" t="str">
        <f>Índex!E45</f>
        <v>Gestora de Qualitat</v>
      </c>
      <c r="J6" s="117"/>
    </row>
    <row r="7" spans="2:10" ht="22.5" customHeight="1" x14ac:dyDescent="0.2">
      <c r="B7" s="594" t="s">
        <v>222</v>
      </c>
      <c r="C7" s="596"/>
      <c r="D7" s="813" t="str">
        <f>Índex!G45</f>
        <v>PC3.04. Avaluació de l’Alumnat</v>
      </c>
      <c r="E7" s="837"/>
      <c r="F7" s="837"/>
      <c r="G7" s="837"/>
      <c r="H7" s="838" t="s">
        <v>172</v>
      </c>
      <c r="I7" s="838"/>
      <c r="J7" s="838"/>
    </row>
    <row r="8" spans="2:10" ht="7.5" customHeight="1" x14ac:dyDescent="0.2"/>
    <row r="9" spans="2:10" ht="22.5" customHeight="1" x14ac:dyDescent="0.2">
      <c r="B9" s="594" t="s">
        <v>223</v>
      </c>
      <c r="C9" s="595"/>
      <c r="D9" s="595"/>
      <c r="E9" s="595"/>
      <c r="F9" s="595"/>
      <c r="G9" s="595"/>
      <c r="H9" s="595"/>
      <c r="I9" s="595"/>
      <c r="J9" s="596"/>
    </row>
    <row r="10" spans="2:10" ht="22.5" customHeight="1" x14ac:dyDescent="0.2">
      <c r="B10" s="14"/>
      <c r="C10" s="13"/>
      <c r="D10" s="13"/>
      <c r="E10" s="13"/>
      <c r="F10" s="13"/>
      <c r="G10" s="13"/>
      <c r="H10" s="13"/>
      <c r="I10" s="13"/>
      <c r="J10" s="13"/>
    </row>
    <row r="11" spans="2:10" ht="22.5" customHeight="1" x14ac:dyDescent="0.2"/>
    <row r="12" spans="2:10" ht="22.5" customHeight="1" x14ac:dyDescent="0.2">
      <c r="B12" s="16"/>
      <c r="C12" s="16"/>
      <c r="D12" s="94" t="s">
        <v>224</v>
      </c>
      <c r="E12" s="94" t="s">
        <v>225</v>
      </c>
      <c r="F12" s="94" t="s">
        <v>226</v>
      </c>
      <c r="G12" s="94" t="s">
        <v>227</v>
      </c>
      <c r="H12" s="94" t="s">
        <v>228</v>
      </c>
      <c r="I12" s="94" t="s">
        <v>229</v>
      </c>
    </row>
    <row r="13" spans="2:10" ht="41.25" customHeight="1" x14ac:dyDescent="0.2">
      <c r="B13" s="695" t="s">
        <v>244</v>
      </c>
      <c r="C13" s="695"/>
      <c r="D13" s="60">
        <v>0.85</v>
      </c>
      <c r="E13" s="60">
        <v>0.87</v>
      </c>
      <c r="F13" s="60">
        <v>0.93</v>
      </c>
      <c r="G13" s="60">
        <v>0.89</v>
      </c>
      <c r="H13" s="60">
        <v>0.87880000000000003</v>
      </c>
      <c r="I13" s="60">
        <v>0.90600000000000003</v>
      </c>
      <c r="J13" s="126"/>
    </row>
    <row r="14" spans="2:10" ht="41.25" customHeight="1" x14ac:dyDescent="0.2">
      <c r="B14" s="695" t="s">
        <v>343</v>
      </c>
      <c r="C14" s="695"/>
      <c r="D14" s="97">
        <v>0.9</v>
      </c>
      <c r="E14" s="60">
        <v>0.92</v>
      </c>
      <c r="F14" s="60">
        <v>0.95</v>
      </c>
      <c r="G14" s="60">
        <v>0.92</v>
      </c>
      <c r="H14" s="60">
        <v>0.91500000000000004</v>
      </c>
      <c r="I14" s="60">
        <v>0.9</v>
      </c>
      <c r="J14" s="126"/>
    </row>
    <row r="15" spans="2:10" ht="41.25" customHeight="1" x14ac:dyDescent="0.2">
      <c r="B15" s="695" t="s">
        <v>293</v>
      </c>
      <c r="C15" s="695"/>
      <c r="D15" s="60">
        <v>0.75</v>
      </c>
      <c r="E15" s="60">
        <v>0.79</v>
      </c>
      <c r="F15" s="60">
        <v>0.78</v>
      </c>
      <c r="G15" s="60">
        <v>0.93</v>
      </c>
      <c r="H15" s="60">
        <v>0.80500000000000005</v>
      </c>
      <c r="I15" s="60">
        <v>0.83509999999999995</v>
      </c>
      <c r="J15" s="126"/>
    </row>
    <row r="16" spans="2:10" ht="41.25" customHeight="1" x14ac:dyDescent="0.2">
      <c r="B16" s="695" t="s">
        <v>247</v>
      </c>
      <c r="C16" s="695"/>
      <c r="D16" s="60">
        <v>0.82</v>
      </c>
      <c r="E16" s="60">
        <v>0.84</v>
      </c>
      <c r="F16" s="60">
        <v>0.88</v>
      </c>
      <c r="G16" s="60">
        <v>0.87</v>
      </c>
      <c r="H16" s="60">
        <v>0.875</v>
      </c>
      <c r="I16" s="60">
        <v>0.84499999999999997</v>
      </c>
      <c r="J16" s="126"/>
    </row>
    <row r="17" spans="2:11" ht="41.25" customHeight="1" x14ac:dyDescent="0.2">
      <c r="B17" s="695" t="s">
        <v>336</v>
      </c>
      <c r="C17" s="695"/>
      <c r="D17" s="97">
        <v>0.94</v>
      </c>
      <c r="E17" s="60">
        <v>0.94</v>
      </c>
      <c r="F17" s="60">
        <v>0.96</v>
      </c>
      <c r="G17" s="60">
        <v>0.94</v>
      </c>
      <c r="H17" s="60">
        <v>0.94</v>
      </c>
      <c r="I17" s="60">
        <v>0.93</v>
      </c>
      <c r="J17" s="126"/>
      <c r="K17" s="23"/>
    </row>
    <row r="18" spans="2:11" ht="41.25" customHeight="1" x14ac:dyDescent="0.2">
      <c r="B18" s="695" t="s">
        <v>337</v>
      </c>
      <c r="C18" s="695"/>
      <c r="D18" s="97">
        <v>0.93</v>
      </c>
      <c r="E18" s="60">
        <v>0.95</v>
      </c>
      <c r="F18" s="60">
        <v>0.97</v>
      </c>
      <c r="G18" s="548" t="s">
        <v>237</v>
      </c>
      <c r="H18" s="60">
        <v>0.94499999999999995</v>
      </c>
      <c r="I18" s="60">
        <v>0.93</v>
      </c>
      <c r="J18" s="126"/>
      <c r="K18" s="23"/>
    </row>
    <row r="19" spans="2:11" ht="41.25" customHeight="1" x14ac:dyDescent="0.2">
      <c r="B19" s="695" t="s">
        <v>250</v>
      </c>
      <c r="C19" s="695"/>
      <c r="D19" s="60">
        <v>0.66</v>
      </c>
      <c r="E19" s="60">
        <v>0.67</v>
      </c>
      <c r="F19" s="60">
        <v>0.68</v>
      </c>
      <c r="G19" s="549">
        <v>0.67</v>
      </c>
      <c r="H19" s="206">
        <v>0.87</v>
      </c>
      <c r="I19" s="206">
        <v>0.67</v>
      </c>
      <c r="J19" s="126"/>
      <c r="K19" s="23"/>
    </row>
    <row r="20" spans="2:11" ht="41.25" customHeight="1" x14ac:dyDescent="0.2">
      <c r="B20" s="695" t="s">
        <v>251</v>
      </c>
      <c r="C20" s="695"/>
      <c r="D20" s="109" t="s">
        <v>317</v>
      </c>
      <c r="E20" s="60">
        <v>0.7</v>
      </c>
      <c r="F20" s="60">
        <v>0.86</v>
      </c>
      <c r="G20" s="64">
        <v>0.88</v>
      </c>
      <c r="H20" s="64">
        <v>0.89</v>
      </c>
      <c r="I20" s="64">
        <v>0.89</v>
      </c>
      <c r="J20" s="126"/>
      <c r="K20" s="23"/>
    </row>
    <row r="21" spans="2:11" ht="41.25" customHeight="1" x14ac:dyDescent="0.2">
      <c r="B21" s="695" t="s">
        <v>252</v>
      </c>
      <c r="C21" s="695"/>
      <c r="D21" s="60">
        <v>0.72</v>
      </c>
      <c r="E21" s="60">
        <v>0.75</v>
      </c>
      <c r="F21" s="60">
        <v>0.81</v>
      </c>
      <c r="G21" s="60">
        <v>0.83</v>
      </c>
      <c r="H21" s="60">
        <v>0.81499999999999995</v>
      </c>
      <c r="I21" s="60">
        <v>0.81</v>
      </c>
      <c r="J21" s="29"/>
    </row>
    <row r="22" spans="2:11" ht="41.25" customHeight="1" x14ac:dyDescent="0.2">
      <c r="B22" s="695" t="s">
        <v>253</v>
      </c>
      <c r="C22" s="695"/>
      <c r="D22" s="60">
        <v>0.88</v>
      </c>
      <c r="E22" s="60">
        <v>0.84</v>
      </c>
      <c r="F22" s="60">
        <v>0.9</v>
      </c>
      <c r="G22" s="60">
        <v>0.84</v>
      </c>
      <c r="H22" s="60">
        <v>0.84</v>
      </c>
      <c r="I22" s="60">
        <v>0.86</v>
      </c>
      <c r="J22" s="30"/>
      <c r="K22" s="55"/>
    </row>
    <row r="23" spans="2:11" ht="41.25" customHeight="1" x14ac:dyDescent="0.2">
      <c r="B23" s="695" t="s">
        <v>254</v>
      </c>
      <c r="C23" s="695"/>
      <c r="D23" s="60">
        <v>0.76</v>
      </c>
      <c r="E23" s="60">
        <v>0.78</v>
      </c>
      <c r="F23" s="60">
        <v>0.81</v>
      </c>
      <c r="G23" s="60">
        <v>0.76</v>
      </c>
      <c r="H23" s="280">
        <v>0.76</v>
      </c>
      <c r="I23" s="280">
        <v>0.74</v>
      </c>
      <c r="J23" s="30"/>
      <c r="K23" s="55"/>
    </row>
    <row r="24" spans="2:11" ht="41.25" customHeight="1" x14ac:dyDescent="0.2">
      <c r="B24" s="695" t="s">
        <v>267</v>
      </c>
      <c r="C24" s="695"/>
      <c r="D24" s="60">
        <v>0.94</v>
      </c>
      <c r="E24" s="60">
        <v>0.98</v>
      </c>
      <c r="F24" s="60">
        <v>0.89</v>
      </c>
      <c r="G24" s="60">
        <v>0.96</v>
      </c>
      <c r="H24" s="60">
        <v>0.99</v>
      </c>
      <c r="I24" s="60">
        <v>0.96</v>
      </c>
      <c r="J24" s="30"/>
      <c r="K24" s="55"/>
    </row>
    <row r="25" spans="2:11" ht="41.25" customHeight="1" x14ac:dyDescent="0.2">
      <c r="B25" s="695" t="s">
        <v>298</v>
      </c>
      <c r="C25" s="695"/>
      <c r="D25" s="60">
        <v>0.84</v>
      </c>
      <c r="E25" s="60">
        <v>0.94</v>
      </c>
      <c r="F25" s="60">
        <v>0.86</v>
      </c>
      <c r="G25" s="60">
        <v>0.9</v>
      </c>
      <c r="H25" s="60">
        <v>0.93</v>
      </c>
      <c r="I25" s="60">
        <v>0.94</v>
      </c>
      <c r="J25" s="30"/>
      <c r="K25" s="55"/>
    </row>
    <row r="26" spans="2:11" ht="41.25" customHeight="1" x14ac:dyDescent="0.2">
      <c r="B26" s="695" t="s">
        <v>269</v>
      </c>
      <c r="C26" s="695"/>
      <c r="D26" s="60">
        <v>0.94</v>
      </c>
      <c r="E26" s="60">
        <v>0.95</v>
      </c>
      <c r="F26" s="60">
        <v>0.95</v>
      </c>
      <c r="G26" s="60">
        <v>0.97</v>
      </c>
      <c r="H26" s="60">
        <v>0.99</v>
      </c>
      <c r="I26" s="60">
        <v>0.97</v>
      </c>
      <c r="J26" s="30"/>
      <c r="K26" s="55"/>
    </row>
    <row r="27" spans="2:11" ht="41.25" customHeight="1" x14ac:dyDescent="0.2">
      <c r="B27" s="695" t="s">
        <v>270</v>
      </c>
      <c r="C27" s="695"/>
      <c r="D27" s="60">
        <v>0.97</v>
      </c>
      <c r="E27" s="60">
        <v>0.93</v>
      </c>
      <c r="F27" s="60">
        <v>0.97</v>
      </c>
      <c r="G27" s="60">
        <v>0.94</v>
      </c>
      <c r="H27" s="60">
        <v>0.94</v>
      </c>
      <c r="I27" s="60">
        <v>0.97</v>
      </c>
      <c r="J27" s="30"/>
      <c r="K27" s="55"/>
    </row>
    <row r="28" spans="2:11" ht="41.25" customHeight="1" x14ac:dyDescent="0.2">
      <c r="B28" s="695" t="s">
        <v>283</v>
      </c>
      <c r="C28" s="695"/>
      <c r="D28" s="60">
        <v>0.83</v>
      </c>
      <c r="E28" s="60">
        <v>0.9</v>
      </c>
      <c r="F28" s="60">
        <v>0.86</v>
      </c>
      <c r="G28" s="60">
        <v>0.86</v>
      </c>
      <c r="H28" s="60">
        <v>1</v>
      </c>
      <c r="I28" s="60">
        <v>1</v>
      </c>
      <c r="J28" s="30"/>
      <c r="K28" s="55"/>
    </row>
    <row r="29" spans="2:11" ht="41.25" customHeight="1" x14ac:dyDescent="0.2">
      <c r="B29" s="695" t="s">
        <v>271</v>
      </c>
      <c r="C29" s="695"/>
      <c r="D29" s="60">
        <v>1</v>
      </c>
      <c r="E29" s="60">
        <v>1</v>
      </c>
      <c r="F29" s="60">
        <v>0.98</v>
      </c>
      <c r="G29" s="60">
        <v>0.96</v>
      </c>
      <c r="H29" s="60" t="s">
        <v>237</v>
      </c>
      <c r="I29" s="60">
        <v>1</v>
      </c>
      <c r="J29" s="30"/>
      <c r="K29" s="55"/>
    </row>
    <row r="30" spans="2:11" ht="41.25" customHeight="1" x14ac:dyDescent="0.2">
      <c r="B30" s="695" t="s">
        <v>515</v>
      </c>
      <c r="C30" s="695"/>
      <c r="D30" s="60">
        <v>1</v>
      </c>
      <c r="E30" s="60">
        <v>0.97</v>
      </c>
      <c r="F30" s="60">
        <v>0.72</v>
      </c>
      <c r="G30" s="60">
        <v>0.99</v>
      </c>
      <c r="H30" s="60">
        <v>0.96</v>
      </c>
      <c r="I30" s="60">
        <v>0.95</v>
      </c>
      <c r="K30" s="70" t="s">
        <v>234</v>
      </c>
    </row>
    <row r="31" spans="2:11" ht="22.5" customHeight="1" x14ac:dyDescent="0.2">
      <c r="B31" s="836" t="str">
        <f>D5</f>
        <v>≥ 80%</v>
      </c>
      <c r="C31" s="836"/>
      <c r="D31" s="17">
        <f>COUNTIF(D13:D30,"&gt;=80%")</f>
        <v>13</v>
      </c>
      <c r="E31" s="17">
        <f t="shared" ref="E31:G31" si="0">COUNTIF(E13:E30,"&gt;=80%")</f>
        <v>13</v>
      </c>
      <c r="F31" s="17">
        <f t="shared" si="0"/>
        <v>15</v>
      </c>
      <c r="G31" s="17">
        <f t="shared" si="0"/>
        <v>15</v>
      </c>
      <c r="H31" s="17">
        <f>COUNTIF(H13:H30,"&gt;=80%")</f>
        <v>16</v>
      </c>
      <c r="I31" s="17">
        <f>COUNTIF(I13:I30,"&gt;=80%")</f>
        <v>16</v>
      </c>
      <c r="K31" s="9"/>
    </row>
    <row r="32" spans="2:11" ht="22.5" customHeight="1" x14ac:dyDescent="0.2">
      <c r="B32" s="689" t="s">
        <v>274</v>
      </c>
      <c r="C32" s="689"/>
      <c r="D32" s="17">
        <f>COUNT(D13:D30)</f>
        <v>17</v>
      </c>
      <c r="E32" s="17">
        <f t="shared" ref="E32:I32" si="1">COUNT(E13:E30)</f>
        <v>18</v>
      </c>
      <c r="F32" s="17">
        <f t="shared" si="1"/>
        <v>18</v>
      </c>
      <c r="G32" s="17">
        <f t="shared" si="1"/>
        <v>17</v>
      </c>
      <c r="H32" s="17">
        <f t="shared" si="1"/>
        <v>17</v>
      </c>
      <c r="I32" s="17">
        <f t="shared" si="1"/>
        <v>18</v>
      </c>
      <c r="K32" s="153" t="s">
        <v>409</v>
      </c>
    </row>
    <row r="33" spans="2:10" ht="22.5" customHeight="1" x14ac:dyDescent="0.2">
      <c r="B33" s="685" t="s">
        <v>231</v>
      </c>
      <c r="C33" s="735"/>
      <c r="D33" s="507">
        <v>0.8</v>
      </c>
      <c r="E33" s="507">
        <v>0.8</v>
      </c>
      <c r="F33" s="507">
        <v>0.8</v>
      </c>
      <c r="G33" s="507">
        <v>0.8</v>
      </c>
      <c r="H33" s="507">
        <v>0.8</v>
      </c>
      <c r="I33" s="507">
        <v>0.8</v>
      </c>
    </row>
    <row r="34" spans="2:10" ht="22.5" customHeight="1" x14ac:dyDescent="0.2">
      <c r="B34" s="685" t="s">
        <v>232</v>
      </c>
      <c r="C34" s="735"/>
      <c r="D34" s="48">
        <f t="shared" ref="D34:I34" si="2">D31/D32</f>
        <v>0.76470588235294112</v>
      </c>
      <c r="E34" s="48">
        <f t="shared" si="2"/>
        <v>0.72222222222222221</v>
      </c>
      <c r="F34" s="48">
        <f t="shared" si="2"/>
        <v>0.83333333333333337</v>
      </c>
      <c r="G34" s="48">
        <f t="shared" si="2"/>
        <v>0.88235294117647056</v>
      </c>
      <c r="H34" s="48">
        <f t="shared" si="2"/>
        <v>0.94117647058823528</v>
      </c>
      <c r="I34" s="48">
        <f t="shared" si="2"/>
        <v>0.88888888888888884</v>
      </c>
    </row>
    <row r="35" spans="2:10" ht="22.5" customHeight="1" x14ac:dyDescent="0.25">
      <c r="B35" s="7"/>
      <c r="C35" s="7"/>
      <c r="D35" s="6"/>
      <c r="E35" s="6"/>
      <c r="F35" s="6"/>
      <c r="G35" s="6"/>
      <c r="H35" s="6"/>
      <c r="I35" s="6"/>
    </row>
    <row r="36" spans="2:10" ht="22.5" customHeight="1" x14ac:dyDescent="0.2">
      <c r="B36" s="594" t="s">
        <v>233</v>
      </c>
      <c r="C36" s="595"/>
      <c r="D36" s="595"/>
      <c r="E36" s="596"/>
      <c r="F36" s="8"/>
    </row>
    <row r="37" spans="2:10" ht="22.5" customHeight="1" x14ac:dyDescent="0.2">
      <c r="B37" s="8"/>
      <c r="C37" s="8"/>
      <c r="D37" s="8"/>
      <c r="E37" s="8"/>
      <c r="F37" s="8"/>
    </row>
    <row r="38" spans="2:10" ht="6" customHeight="1" x14ac:dyDescent="0.2">
      <c r="B38" s="8"/>
      <c r="C38" s="8"/>
      <c r="D38" s="8"/>
      <c r="E38" s="8"/>
      <c r="F38" s="8"/>
    </row>
    <row r="39" spans="2:10" ht="19.5" customHeight="1" x14ac:dyDescent="0.2">
      <c r="B39" s="8"/>
      <c r="C39" s="8"/>
      <c r="D39" s="8"/>
      <c r="E39" s="8"/>
      <c r="F39" s="8"/>
    </row>
    <row r="40" spans="2:10" ht="19.5" customHeight="1" x14ac:dyDescent="0.2">
      <c r="B40" s="8"/>
      <c r="C40" s="8"/>
      <c r="D40" s="8"/>
      <c r="E40" s="8"/>
      <c r="F40" s="8"/>
    </row>
    <row r="41" spans="2:10" ht="19.5" customHeight="1" x14ac:dyDescent="0.2">
      <c r="B41" s="8"/>
      <c r="C41" s="8"/>
      <c r="D41" s="8"/>
      <c r="E41" s="8"/>
      <c r="F41" s="8"/>
    </row>
    <row r="42" spans="2:10" ht="19.5" customHeight="1" x14ac:dyDescent="0.2">
      <c r="B42" s="8"/>
      <c r="C42" s="8"/>
      <c r="D42" s="8"/>
      <c r="E42" s="8"/>
      <c r="F42" s="8"/>
    </row>
    <row r="43" spans="2:10" ht="19.5" customHeight="1" x14ac:dyDescent="0.2">
      <c r="B43" s="8"/>
      <c r="C43" s="8"/>
      <c r="D43" s="8"/>
      <c r="E43" s="8"/>
      <c r="F43" s="8"/>
    </row>
    <row r="44" spans="2:10" ht="19.5" customHeight="1" x14ac:dyDescent="0.2">
      <c r="B44" s="8"/>
      <c r="C44" s="8"/>
      <c r="D44" s="8"/>
      <c r="E44" s="8"/>
      <c r="F44" s="8"/>
    </row>
    <row r="45" spans="2:10" ht="19.5" customHeight="1" x14ac:dyDescent="0.2">
      <c r="B45" s="8"/>
      <c r="C45" s="8"/>
      <c r="D45" s="8"/>
      <c r="E45" s="8"/>
      <c r="F45" s="8"/>
    </row>
    <row r="46" spans="2:10" ht="19.5" customHeight="1" x14ac:dyDescent="0.2">
      <c r="B46" s="8"/>
      <c r="C46" s="8"/>
      <c r="D46" s="8"/>
      <c r="E46" s="8"/>
      <c r="F46" s="8"/>
    </row>
    <row r="47" spans="2:10" ht="19.5" customHeight="1" x14ac:dyDescent="0.2"/>
    <row r="48" spans="2:10" ht="19.5" customHeight="1" x14ac:dyDescent="0.2">
      <c r="H48" s="588" t="s">
        <v>172</v>
      </c>
      <c r="I48" s="589"/>
      <c r="J48" s="589"/>
    </row>
  </sheetData>
  <sheetProtection algorithmName="SHA-512" hashValue="ujQyafKBV2nQg7GRU2TZquAc39XIeKzIVOvPsa9mvOAZt0VLaNqfeTxATlFPDM9K0BgaXprgys+K73RDpnBXmw==" saltValue="XQo8Q2uFRx4NwN69mKCyIw==" spinCount="100000" sheet="1" formatCells="0" formatColumns="0" formatRows="0" insertColumns="0" insertRows="0" insertHyperlinks="0" deleteColumns="0" deleteRows="0" pivotTables="0"/>
  <mergeCells count="41">
    <mergeCell ref="B2:D2"/>
    <mergeCell ref="E2:J2"/>
    <mergeCell ref="B4:C4"/>
    <mergeCell ref="D4:E4"/>
    <mergeCell ref="F4:G4"/>
    <mergeCell ref="H4:J4"/>
    <mergeCell ref="B5:C5"/>
    <mergeCell ref="D5:E5"/>
    <mergeCell ref="F5:G5"/>
    <mergeCell ref="H5:J5"/>
    <mergeCell ref="B6:C6"/>
    <mergeCell ref="D6:E6"/>
    <mergeCell ref="F6:G6"/>
    <mergeCell ref="B22:C22"/>
    <mergeCell ref="B30:C30"/>
    <mergeCell ref="B31:C31"/>
    <mergeCell ref="B17:C17"/>
    <mergeCell ref="B7:C7"/>
    <mergeCell ref="B9:J9"/>
    <mergeCell ref="B13:C13"/>
    <mergeCell ref="B14:C14"/>
    <mergeCell ref="B15:C15"/>
    <mergeCell ref="B16:C16"/>
    <mergeCell ref="D7:G7"/>
    <mergeCell ref="H7:J7"/>
    <mergeCell ref="H48:J48"/>
    <mergeCell ref="B18:C18"/>
    <mergeCell ref="B23:C23"/>
    <mergeCell ref="B24:C24"/>
    <mergeCell ref="B25:C25"/>
    <mergeCell ref="B26:C26"/>
    <mergeCell ref="B27:C27"/>
    <mergeCell ref="B28:C28"/>
    <mergeCell ref="B29:C29"/>
    <mergeCell ref="B32:C32"/>
    <mergeCell ref="B33:C33"/>
    <mergeCell ref="B34:C34"/>
    <mergeCell ref="B36:E36"/>
    <mergeCell ref="B19:C19"/>
    <mergeCell ref="B20:C20"/>
    <mergeCell ref="B21:C21"/>
  </mergeCells>
  <conditionalFormatting sqref="D13:I30">
    <cfRule type="cellIs" dxfId="31" priority="1" operator="between">
      <formula>0</formula>
      <formula>0.72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81277-9D25-4A2F-855F-0299CB275CB8}">
  <sheetPr>
    <tabColor theme="9" tint="-0.499984740745262"/>
    <pageSetUpPr fitToPage="1"/>
  </sheetPr>
  <dimension ref="B2:M47"/>
  <sheetViews>
    <sheetView showGridLines="0" topLeftCell="A28" workbookViewId="0">
      <selection activeCell="G31" sqref="G31"/>
    </sheetView>
  </sheetViews>
  <sheetFormatPr defaultColWidth="12.5703125" defaultRowHeight="15.75" customHeight="1" x14ac:dyDescent="0.2"/>
  <cols>
    <col min="1" max="1" width="3.42578125" customWidth="1"/>
    <col min="2" max="2" width="14.140625" customWidth="1"/>
    <col min="3" max="3" width="12.5703125" customWidth="1"/>
    <col min="4" max="4" width="17.28515625" bestFit="1" customWidth="1"/>
    <col min="5" max="9" width="12.5703125" customWidth="1"/>
    <col min="10" max="10" width="36.28515625" customWidth="1"/>
    <col min="11" max="20" width="7.5703125" customWidth="1"/>
  </cols>
  <sheetData>
    <row r="2" spans="2:13" ht="55.5" customHeight="1" x14ac:dyDescent="0.2">
      <c r="B2" s="670"/>
      <c r="C2" s="671"/>
      <c r="D2" s="672"/>
      <c r="E2" s="673" t="s">
        <v>213</v>
      </c>
      <c r="F2" s="671"/>
      <c r="G2" s="671"/>
      <c r="H2" s="671"/>
      <c r="I2" s="671"/>
      <c r="J2" s="672"/>
    </row>
    <row r="3" spans="2:13" ht="22.5" customHeight="1" x14ac:dyDescent="0.2">
      <c r="B3" s="46"/>
      <c r="C3" s="46"/>
      <c r="D3" s="47"/>
      <c r="E3" s="47"/>
      <c r="F3" s="47"/>
      <c r="G3" s="47"/>
      <c r="H3" s="47"/>
      <c r="I3" s="47"/>
    </row>
    <row r="4" spans="2:13" ht="42" customHeight="1" x14ac:dyDescent="0.2">
      <c r="B4" s="594" t="s">
        <v>214</v>
      </c>
      <c r="C4" s="596"/>
      <c r="D4" s="674" t="str">
        <f>Índex!B46</f>
        <v xml:space="preserve">PC3.04_Ind02. </v>
      </c>
      <c r="E4" s="672"/>
      <c r="F4" s="594" t="s">
        <v>215</v>
      </c>
      <c r="G4" s="596"/>
      <c r="H4" s="674" t="str">
        <f>Índex!C46</f>
        <v>Puntuació mitjana a l’afirmació “El sistema d’avaluació s’explica clarament a la Guia Docent de l’assignatura” de l’enquesta de satisfacció d’assignatura dels graus i de mòdul dels màsters</v>
      </c>
      <c r="I4" s="671"/>
      <c r="J4" s="672"/>
    </row>
    <row r="5" spans="2:13" ht="22.5" customHeight="1" x14ac:dyDescent="0.2">
      <c r="B5" s="594" t="s">
        <v>368</v>
      </c>
      <c r="C5" s="596"/>
      <c r="D5" s="674" t="str">
        <f>Índex!F46</f>
        <v>≥ 3</v>
      </c>
      <c r="E5" s="672"/>
      <c r="F5" s="732" t="s">
        <v>217</v>
      </c>
      <c r="G5" s="596"/>
      <c r="H5" s="775" t="s">
        <v>241</v>
      </c>
      <c r="I5" s="671"/>
      <c r="J5" s="636"/>
    </row>
    <row r="6" spans="2:13" ht="22.5" customHeight="1" x14ac:dyDescent="0.2">
      <c r="B6" s="594" t="s">
        <v>219</v>
      </c>
      <c r="C6" s="596"/>
      <c r="D6" s="674" t="s">
        <v>220</v>
      </c>
      <c r="E6" s="672"/>
      <c r="F6" s="594" t="s">
        <v>242</v>
      </c>
      <c r="G6" s="596"/>
      <c r="H6" s="12" t="str">
        <f>Índex!E46</f>
        <v>Gestora de Qualitat</v>
      </c>
      <c r="J6" s="19"/>
    </row>
    <row r="7" spans="2:13" ht="22.5" customHeight="1" x14ac:dyDescent="0.2">
      <c r="B7" s="594" t="s">
        <v>222</v>
      </c>
      <c r="C7" s="596"/>
      <c r="D7" s="674" t="str">
        <f>Índex!G46</f>
        <v>PC3.04. Avaluació de l’Alumnat</v>
      </c>
      <c r="E7" s="671"/>
      <c r="F7" s="671"/>
      <c r="G7" s="671"/>
      <c r="H7" s="671"/>
      <c r="I7" s="671"/>
      <c r="J7" s="672"/>
    </row>
    <row r="8" spans="2:13" ht="7.5" customHeight="1" x14ac:dyDescent="0.2"/>
    <row r="9" spans="2:13" ht="22.5" customHeight="1" x14ac:dyDescent="0.2">
      <c r="B9" s="594" t="s">
        <v>223</v>
      </c>
      <c r="C9" s="595"/>
      <c r="D9" s="595"/>
      <c r="E9" s="595"/>
      <c r="F9" s="595"/>
      <c r="G9" s="595"/>
      <c r="H9" s="595"/>
      <c r="I9" s="595"/>
      <c r="J9" s="596"/>
    </row>
    <row r="10" spans="2:13" ht="22.5" customHeight="1" x14ac:dyDescent="0.2"/>
    <row r="11" spans="2:13" ht="22.5" customHeight="1" x14ac:dyDescent="0.2">
      <c r="B11" s="839"/>
      <c r="C11" s="839"/>
      <c r="D11" s="94" t="s">
        <v>225</v>
      </c>
      <c r="E11" s="94" t="s">
        <v>226</v>
      </c>
      <c r="F11" s="94" t="s">
        <v>227</v>
      </c>
      <c r="G11" s="94" t="s">
        <v>228</v>
      </c>
      <c r="H11" s="94" t="s">
        <v>229</v>
      </c>
      <c r="I11" s="24"/>
      <c r="K11" s="21"/>
      <c r="L11" s="21"/>
      <c r="M11" s="21"/>
    </row>
    <row r="12" spans="2:13" ht="22.5" customHeight="1" x14ac:dyDescent="0.2">
      <c r="B12" s="627" t="s">
        <v>244</v>
      </c>
      <c r="C12" s="627"/>
      <c r="D12" s="31">
        <f>(3.47+3.24)/2</f>
        <v>3.3550000000000004</v>
      </c>
      <c r="E12" s="31">
        <v>3.42</v>
      </c>
      <c r="F12" s="31">
        <f>(3.51+3.12)/2</f>
        <v>3.3149999999999999</v>
      </c>
      <c r="G12" s="31">
        <v>3.34</v>
      </c>
      <c r="H12" s="31">
        <v>3.28</v>
      </c>
      <c r="I12" s="24"/>
      <c r="K12" s="21"/>
      <c r="L12" s="21"/>
      <c r="M12" s="21"/>
    </row>
    <row r="13" spans="2:13" ht="22.5" customHeight="1" x14ac:dyDescent="0.2">
      <c r="B13" s="627" t="s">
        <v>245</v>
      </c>
      <c r="C13" s="653"/>
      <c r="D13" s="31" t="s">
        <v>296</v>
      </c>
      <c r="E13" s="31">
        <v>3.29</v>
      </c>
      <c r="F13" s="31" t="s">
        <v>237</v>
      </c>
      <c r="G13" s="31" t="s">
        <v>238</v>
      </c>
      <c r="H13" s="31" t="s">
        <v>237</v>
      </c>
      <c r="I13" s="24"/>
      <c r="K13" s="21"/>
      <c r="L13" s="21"/>
      <c r="M13" s="21"/>
    </row>
    <row r="14" spans="2:13" ht="22.5" customHeight="1" x14ac:dyDescent="0.2">
      <c r="B14" s="627" t="s">
        <v>246</v>
      </c>
      <c r="C14" s="653"/>
      <c r="D14" s="31">
        <f>(3.32+3.26)/2</f>
        <v>3.29</v>
      </c>
      <c r="E14" s="31">
        <v>3.21</v>
      </c>
      <c r="F14" s="31">
        <v>2.86</v>
      </c>
      <c r="G14" s="31">
        <v>3.53</v>
      </c>
      <c r="H14" s="31">
        <v>3.43</v>
      </c>
      <c r="I14" s="24"/>
      <c r="K14" s="21"/>
      <c r="L14" s="21"/>
      <c r="M14" s="21"/>
    </row>
    <row r="15" spans="2:13" ht="22.5" customHeight="1" x14ac:dyDescent="0.2">
      <c r="B15" s="627" t="s">
        <v>247</v>
      </c>
      <c r="C15" s="653"/>
      <c r="D15" s="31">
        <f>(3.4+3.53)/2</f>
        <v>3.4649999999999999</v>
      </c>
      <c r="E15" s="31">
        <v>3.42</v>
      </c>
      <c r="F15" s="31">
        <f>(3.51+3.33)/2</f>
        <v>3.42</v>
      </c>
      <c r="G15" s="31">
        <v>3.58</v>
      </c>
      <c r="H15" s="31">
        <v>3.55</v>
      </c>
      <c r="I15" s="24"/>
      <c r="K15" s="21"/>
      <c r="L15" s="21"/>
      <c r="M15" s="21"/>
    </row>
    <row r="16" spans="2:13" ht="22.5" customHeight="1" x14ac:dyDescent="0.2">
      <c r="B16" s="627" t="s">
        <v>248</v>
      </c>
      <c r="C16" s="653"/>
      <c r="D16" s="31" t="s">
        <v>296</v>
      </c>
      <c r="E16" s="31">
        <v>3.49</v>
      </c>
      <c r="F16" s="31">
        <f>(3.68+3.28)/2</f>
        <v>3.48</v>
      </c>
      <c r="G16" s="31">
        <v>3.67</v>
      </c>
      <c r="H16" s="31">
        <v>3.57</v>
      </c>
      <c r="I16" s="24"/>
      <c r="J16" s="594" t="s">
        <v>234</v>
      </c>
      <c r="K16" s="595"/>
      <c r="L16" s="595"/>
      <c r="M16" s="596"/>
    </row>
    <row r="17" spans="2:13" ht="22.5" customHeight="1" x14ac:dyDescent="0.2">
      <c r="B17" s="627" t="s">
        <v>249</v>
      </c>
      <c r="C17" s="653"/>
      <c r="D17" s="31" t="s">
        <v>296</v>
      </c>
      <c r="E17" s="31">
        <v>3.51</v>
      </c>
      <c r="F17" s="31">
        <f>(3.57+3.22)/2</f>
        <v>3.395</v>
      </c>
      <c r="G17" s="31">
        <v>3.33</v>
      </c>
      <c r="H17" s="31">
        <v>3.57</v>
      </c>
      <c r="I17" s="24"/>
      <c r="J17" s="9"/>
      <c r="K17" s="9"/>
      <c r="L17" s="9"/>
      <c r="M17" s="9"/>
    </row>
    <row r="18" spans="2:13" ht="22.5" customHeight="1" x14ac:dyDescent="0.2">
      <c r="B18" s="627" t="s">
        <v>250</v>
      </c>
      <c r="C18" s="653"/>
      <c r="D18" s="31">
        <f>(3.19+3.16)/2</f>
        <v>3.1749999999999998</v>
      </c>
      <c r="E18" s="31">
        <v>3.15</v>
      </c>
      <c r="F18" s="31">
        <f>(3.21+3.15)/2</f>
        <v>3.1799999999999997</v>
      </c>
      <c r="G18" s="31">
        <v>3.35</v>
      </c>
      <c r="H18" s="31">
        <v>3.17</v>
      </c>
      <c r="I18" s="24"/>
      <c r="J18" s="634" t="s">
        <v>516</v>
      </c>
      <c r="K18" s="580"/>
      <c r="L18" s="580"/>
      <c r="M18" s="581"/>
    </row>
    <row r="19" spans="2:13" ht="22.5" customHeight="1" x14ac:dyDescent="0.2">
      <c r="B19" s="627" t="s">
        <v>251</v>
      </c>
      <c r="C19" s="653"/>
      <c r="D19" s="31">
        <f>(3.58+3.4)/2</f>
        <v>3.49</v>
      </c>
      <c r="E19" s="31">
        <v>3.58</v>
      </c>
      <c r="F19" s="31">
        <f>(3.58+3.27)/2</f>
        <v>3.4249999999999998</v>
      </c>
      <c r="G19" s="31">
        <v>3.47</v>
      </c>
      <c r="H19" s="31">
        <v>3.37</v>
      </c>
      <c r="I19" s="24"/>
      <c r="J19" s="582"/>
      <c r="K19" s="583"/>
      <c r="L19" s="583"/>
      <c r="M19" s="584"/>
    </row>
    <row r="20" spans="2:13" ht="22.5" customHeight="1" x14ac:dyDescent="0.2">
      <c r="B20" s="627" t="s">
        <v>252</v>
      </c>
      <c r="C20" s="653"/>
      <c r="D20" s="31">
        <f>(3.29+3.14)/2</f>
        <v>3.2149999999999999</v>
      </c>
      <c r="E20" s="31">
        <v>3.6</v>
      </c>
      <c r="F20" s="31">
        <f>(3.69+3.55)/2</f>
        <v>3.62</v>
      </c>
      <c r="G20" s="31">
        <v>3.62</v>
      </c>
      <c r="H20" s="31">
        <v>3.63</v>
      </c>
      <c r="I20" s="24"/>
      <c r="J20" s="582"/>
      <c r="K20" s="583"/>
      <c r="L20" s="583"/>
      <c r="M20" s="584"/>
    </row>
    <row r="21" spans="2:13" ht="22.5" customHeight="1" x14ac:dyDescent="0.2">
      <c r="B21" s="627" t="s">
        <v>253</v>
      </c>
      <c r="C21" s="653"/>
      <c r="D21" s="31">
        <f>(3.29+3.44)/2</f>
        <v>3.3650000000000002</v>
      </c>
      <c r="E21" s="31">
        <v>3.48</v>
      </c>
      <c r="F21" s="31">
        <f>(3.48+3.2)/2</f>
        <v>3.34</v>
      </c>
      <c r="G21" s="31">
        <v>3.53</v>
      </c>
      <c r="H21" s="31">
        <v>3.61</v>
      </c>
      <c r="I21" s="24"/>
      <c r="J21" s="582"/>
      <c r="K21" s="583"/>
      <c r="L21" s="583"/>
      <c r="M21" s="584"/>
    </row>
    <row r="22" spans="2:13" ht="22.5" customHeight="1" x14ac:dyDescent="0.2">
      <c r="B22" s="627" t="s">
        <v>254</v>
      </c>
      <c r="C22" s="653"/>
      <c r="D22" s="31">
        <f>(3.54+3.48)/2</f>
        <v>3.51</v>
      </c>
      <c r="E22" s="31">
        <v>3.51</v>
      </c>
      <c r="F22" s="31">
        <f>(3.24+3.65)/2</f>
        <v>3.4450000000000003</v>
      </c>
      <c r="G22" s="31">
        <v>3.56</v>
      </c>
      <c r="H22" s="31">
        <v>3.59</v>
      </c>
      <c r="I22" s="24"/>
      <c r="J22" s="582"/>
      <c r="K22" s="583"/>
      <c r="L22" s="583"/>
      <c r="M22" s="584"/>
    </row>
    <row r="23" spans="2:13" ht="22.5" customHeight="1" x14ac:dyDescent="0.2">
      <c r="B23" s="627" t="s">
        <v>267</v>
      </c>
      <c r="C23" s="627"/>
      <c r="D23" s="31">
        <v>3.1</v>
      </c>
      <c r="E23" s="31">
        <v>3.23</v>
      </c>
      <c r="F23" s="31" t="s">
        <v>317</v>
      </c>
      <c r="G23" s="31">
        <v>3.7</v>
      </c>
      <c r="H23" s="31">
        <v>3.58</v>
      </c>
      <c r="I23" s="24"/>
      <c r="J23" s="582"/>
      <c r="K23" s="583"/>
      <c r="L23" s="583"/>
      <c r="M23" s="584"/>
    </row>
    <row r="24" spans="2:13" ht="22.5" customHeight="1" x14ac:dyDescent="0.2">
      <c r="B24" s="627" t="s">
        <v>298</v>
      </c>
      <c r="C24" s="627"/>
      <c r="D24" s="31">
        <v>3.4</v>
      </c>
      <c r="E24" s="31">
        <v>3.2</v>
      </c>
      <c r="F24" s="31" t="s">
        <v>317</v>
      </c>
      <c r="G24" s="31">
        <v>3.35</v>
      </c>
      <c r="H24" s="31">
        <v>4</v>
      </c>
      <c r="I24" s="24"/>
      <c r="J24" s="582"/>
      <c r="K24" s="583"/>
      <c r="L24" s="583"/>
      <c r="M24" s="584"/>
    </row>
    <row r="25" spans="2:13" ht="22.5" customHeight="1" x14ac:dyDescent="0.2">
      <c r="B25" s="627" t="s">
        <v>281</v>
      </c>
      <c r="C25" s="627"/>
      <c r="D25" s="31">
        <v>3.8</v>
      </c>
      <c r="E25" s="31">
        <v>3.56</v>
      </c>
      <c r="F25" s="31">
        <v>3.95</v>
      </c>
      <c r="G25" s="31">
        <v>3.67</v>
      </c>
      <c r="H25" s="31">
        <v>3.72</v>
      </c>
      <c r="I25" s="24"/>
      <c r="J25" s="582"/>
      <c r="K25" s="583"/>
      <c r="L25" s="583"/>
      <c r="M25" s="584"/>
    </row>
    <row r="26" spans="2:13" ht="22.5" customHeight="1" x14ac:dyDescent="0.2">
      <c r="B26" s="627" t="s">
        <v>270</v>
      </c>
      <c r="C26" s="627"/>
      <c r="D26" s="31">
        <v>2.8</v>
      </c>
      <c r="E26" s="31">
        <v>3.52</v>
      </c>
      <c r="F26" s="31">
        <v>3.47</v>
      </c>
      <c r="G26" s="31" t="s">
        <v>237</v>
      </c>
      <c r="H26" s="31" t="s">
        <v>237</v>
      </c>
      <c r="I26" s="24"/>
      <c r="J26" s="582"/>
      <c r="K26" s="583"/>
      <c r="L26" s="583"/>
      <c r="M26" s="584"/>
    </row>
    <row r="27" spans="2:13" ht="22.5" customHeight="1" x14ac:dyDescent="0.2">
      <c r="B27" s="627" t="s">
        <v>283</v>
      </c>
      <c r="C27" s="627"/>
      <c r="D27" s="31">
        <v>3.17</v>
      </c>
      <c r="E27" s="31">
        <v>3.17</v>
      </c>
      <c r="F27" s="31" t="s">
        <v>317</v>
      </c>
      <c r="G27" s="31">
        <v>2.2999999999999998</v>
      </c>
      <c r="H27" s="31">
        <v>3.11</v>
      </c>
      <c r="I27" s="24"/>
      <c r="J27" s="582"/>
      <c r="K27" s="583"/>
      <c r="L27" s="583"/>
      <c r="M27" s="584"/>
    </row>
    <row r="28" spans="2:13" ht="22.5" customHeight="1" x14ac:dyDescent="0.2">
      <c r="B28" s="627" t="s">
        <v>271</v>
      </c>
      <c r="C28" s="627"/>
      <c r="D28" s="31">
        <v>3</v>
      </c>
      <c r="E28" s="31">
        <v>2.96</v>
      </c>
      <c r="F28" s="31" t="s">
        <v>317</v>
      </c>
      <c r="G28" s="31" t="s">
        <v>317</v>
      </c>
      <c r="H28" s="31" t="s">
        <v>237</v>
      </c>
      <c r="I28" s="24"/>
      <c r="J28" s="582"/>
      <c r="K28" s="583"/>
      <c r="L28" s="583"/>
      <c r="M28" s="584"/>
    </row>
    <row r="29" spans="2:13" ht="22.5" customHeight="1" x14ac:dyDescent="0.2">
      <c r="B29" s="627" t="s">
        <v>285</v>
      </c>
      <c r="C29" s="627"/>
      <c r="D29" s="31">
        <v>3.13</v>
      </c>
      <c r="E29" s="31">
        <v>2.4700000000000002</v>
      </c>
      <c r="F29" s="31" t="s">
        <v>317</v>
      </c>
      <c r="G29" s="31" t="s">
        <v>317</v>
      </c>
      <c r="H29" s="31">
        <v>3.45</v>
      </c>
      <c r="I29" s="24"/>
      <c r="J29" s="582"/>
      <c r="K29" s="583"/>
      <c r="L29" s="583"/>
      <c r="M29" s="584"/>
    </row>
    <row r="30" spans="2:13" ht="22.5" customHeight="1" x14ac:dyDescent="0.2">
      <c r="B30" s="816" t="str">
        <f>D5</f>
        <v>≥ 3</v>
      </c>
      <c r="C30" s="816"/>
      <c r="D30" s="332">
        <f>COUNTIF(D12:D29,"&gt;=3")</f>
        <v>14</v>
      </c>
      <c r="E30" s="332">
        <f>COUNTIF(E12:E29,"&gt;=3")</f>
        <v>16</v>
      </c>
      <c r="F30" s="332">
        <f>COUNTIF(F12:F29,"&gt;=3")</f>
        <v>11</v>
      </c>
      <c r="G30" s="332">
        <f>COUNTIF(G12:G29,"&gt;=3")</f>
        <v>13</v>
      </c>
      <c r="H30" s="332">
        <f>COUNTIF(H12:H29,"&gt;=3")</f>
        <v>15</v>
      </c>
      <c r="J30" s="582"/>
      <c r="K30" s="583"/>
      <c r="L30" s="583"/>
      <c r="M30" s="584"/>
    </row>
    <row r="31" spans="2:13" ht="22.5" customHeight="1" x14ac:dyDescent="0.2">
      <c r="B31" s="689" t="s">
        <v>274</v>
      </c>
      <c r="C31" s="689"/>
      <c r="D31" s="50">
        <f>COUNT( D12:D29)</f>
        <v>15</v>
      </c>
      <c r="E31" s="50">
        <f>COUNT( E12:E29)</f>
        <v>18</v>
      </c>
      <c r="F31" s="50">
        <f>COUNT( F12:F29)</f>
        <v>12</v>
      </c>
      <c r="G31" s="333">
        <f>COUNT(G12:G29)</f>
        <v>14</v>
      </c>
      <c r="H31" s="333">
        <f>COUNT(H12:H29)</f>
        <v>15</v>
      </c>
      <c r="J31" s="582"/>
      <c r="K31" s="583"/>
      <c r="L31" s="583"/>
      <c r="M31" s="584"/>
    </row>
    <row r="32" spans="2:13" ht="22.5" customHeight="1" x14ac:dyDescent="0.2">
      <c r="B32" s="45" t="s">
        <v>231</v>
      </c>
      <c r="C32" s="12" t="str">
        <f>$D5</f>
        <v>≥ 3</v>
      </c>
      <c r="D32" s="62">
        <v>3</v>
      </c>
      <c r="E32" s="62">
        <v>3</v>
      </c>
      <c r="F32" s="62">
        <v>3</v>
      </c>
      <c r="G32" s="62">
        <v>3</v>
      </c>
      <c r="H32" s="62">
        <v>3</v>
      </c>
      <c r="I32" s="25"/>
      <c r="J32" s="582"/>
      <c r="K32" s="583"/>
      <c r="L32" s="583"/>
      <c r="M32" s="584"/>
    </row>
    <row r="33" spans="2:13" ht="22.5" customHeight="1" x14ac:dyDescent="0.2">
      <c r="B33" s="685" t="s">
        <v>232</v>
      </c>
      <c r="C33" s="735"/>
      <c r="D33" s="52">
        <f>D30/D31</f>
        <v>0.93333333333333335</v>
      </c>
      <c r="E33" s="52">
        <f>E30/E31</f>
        <v>0.88888888888888884</v>
      </c>
      <c r="F33" s="52">
        <f>F30/F31</f>
        <v>0.91666666666666663</v>
      </c>
      <c r="G33" s="52">
        <f>G30/G31</f>
        <v>0.9285714285714286</v>
      </c>
      <c r="H33" s="52">
        <f>H30/H31</f>
        <v>1</v>
      </c>
      <c r="I33" s="26"/>
      <c r="J33" s="585"/>
      <c r="K33" s="586"/>
      <c r="L33" s="586"/>
      <c r="M33" s="587"/>
    </row>
    <row r="34" spans="2:13" ht="22.5" customHeight="1" x14ac:dyDescent="0.25">
      <c r="B34" s="7"/>
      <c r="C34" s="7"/>
      <c r="D34" s="6"/>
      <c r="E34" s="6"/>
      <c r="F34" s="6"/>
      <c r="G34" s="6"/>
      <c r="H34" s="6"/>
      <c r="I34" s="6"/>
      <c r="J34" s="6"/>
    </row>
    <row r="35" spans="2:13" ht="22.5" customHeight="1" x14ac:dyDescent="0.2">
      <c r="B35" s="594" t="s">
        <v>233</v>
      </c>
      <c r="C35" s="595"/>
      <c r="D35" s="595"/>
      <c r="E35" s="596"/>
      <c r="F35" s="8"/>
    </row>
    <row r="36" spans="2:13" ht="22.5" customHeight="1" x14ac:dyDescent="0.2">
      <c r="B36" s="8"/>
      <c r="C36" s="8"/>
      <c r="D36" s="8"/>
      <c r="E36" s="8"/>
      <c r="F36" s="8"/>
    </row>
    <row r="37" spans="2:13" ht="6" customHeight="1" x14ac:dyDescent="0.2">
      <c r="B37" s="8"/>
      <c r="C37" s="8"/>
      <c r="D37" s="8"/>
      <c r="E37" s="8"/>
      <c r="F37" s="8"/>
    </row>
    <row r="38" spans="2:13" ht="19.5" customHeight="1" x14ac:dyDescent="0.2">
      <c r="B38" s="8"/>
      <c r="C38" s="8"/>
      <c r="D38" s="8"/>
      <c r="E38" s="8"/>
      <c r="F38" s="8"/>
    </row>
    <row r="39" spans="2:13" ht="19.5" customHeight="1" x14ac:dyDescent="0.2">
      <c r="B39" s="8"/>
      <c r="C39" s="8"/>
      <c r="D39" s="8"/>
      <c r="E39" s="8"/>
      <c r="F39" s="8"/>
    </row>
    <row r="40" spans="2:13" ht="19.5" customHeight="1" x14ac:dyDescent="0.2">
      <c r="B40" s="8"/>
      <c r="C40" s="8"/>
      <c r="D40" s="8"/>
      <c r="E40" s="8"/>
      <c r="F40" s="8"/>
    </row>
    <row r="41" spans="2:13" ht="19.5" customHeight="1" x14ac:dyDescent="0.2">
      <c r="B41" s="8"/>
      <c r="C41" s="8"/>
      <c r="D41" s="8"/>
      <c r="E41" s="8"/>
      <c r="F41" s="8"/>
    </row>
    <row r="42" spans="2:13" ht="19.5" customHeight="1" x14ac:dyDescent="0.2">
      <c r="B42" s="8"/>
      <c r="C42" s="8"/>
      <c r="D42" s="8"/>
      <c r="E42" s="8"/>
      <c r="F42" s="8"/>
    </row>
    <row r="43" spans="2:13" ht="19.5" customHeight="1" x14ac:dyDescent="0.2">
      <c r="B43" s="8"/>
      <c r="C43" s="8"/>
      <c r="D43" s="8"/>
      <c r="E43" s="8"/>
      <c r="F43" s="8"/>
    </row>
    <row r="44" spans="2:13" ht="19.5" customHeight="1" x14ac:dyDescent="0.2">
      <c r="B44" s="8"/>
      <c r="C44" s="8"/>
      <c r="D44" s="8"/>
      <c r="E44" s="8"/>
      <c r="F44" s="8"/>
    </row>
    <row r="45" spans="2:13" ht="19.5" customHeight="1" x14ac:dyDescent="0.2">
      <c r="B45" s="8"/>
      <c r="C45" s="8"/>
      <c r="D45" s="8"/>
      <c r="E45" s="8"/>
      <c r="F45" s="8"/>
    </row>
    <row r="46" spans="2:13" ht="19.5" customHeight="1" x14ac:dyDescent="0.2"/>
    <row r="47" spans="2:13" ht="19.5" customHeight="1" x14ac:dyDescent="0.2">
      <c r="H47" s="588" t="s">
        <v>172</v>
      </c>
      <c r="I47" s="589"/>
      <c r="J47" s="589"/>
    </row>
  </sheetData>
  <sheetProtection sheet="1" formatCells="0" formatColumns="0" formatRows="0" insertColumns="0" insertRows="0" insertHyperlinks="0" deleteColumns="0" deleteRows="0" pivotTables="0"/>
  <mergeCells count="42">
    <mergeCell ref="B28:C28"/>
    <mergeCell ref="B29:C29"/>
    <mergeCell ref="B6:C6"/>
    <mergeCell ref="D6:E6"/>
    <mergeCell ref="F6:G6"/>
    <mergeCell ref="B9:J9"/>
    <mergeCell ref="B7:C7"/>
    <mergeCell ref="D7:J7"/>
    <mergeCell ref="B19:C19"/>
    <mergeCell ref="J16:M16"/>
    <mergeCell ref="B17:C17"/>
    <mergeCell ref="B12:C12"/>
    <mergeCell ref="B13:C13"/>
    <mergeCell ref="B11:C11"/>
    <mergeCell ref="B14:C14"/>
    <mergeCell ref="B15:C15"/>
    <mergeCell ref="B2:D2"/>
    <mergeCell ref="B5:C5"/>
    <mergeCell ref="D5:E5"/>
    <mergeCell ref="E2:J2"/>
    <mergeCell ref="B4:C4"/>
    <mergeCell ref="D4:E4"/>
    <mergeCell ref="F4:G4"/>
    <mergeCell ref="H4:J4"/>
    <mergeCell ref="F5:G5"/>
    <mergeCell ref="H5:J5"/>
    <mergeCell ref="B16:C16"/>
    <mergeCell ref="H47:J47"/>
    <mergeCell ref="B31:C31"/>
    <mergeCell ref="B25:C25"/>
    <mergeCell ref="B33:C33"/>
    <mergeCell ref="B35:E35"/>
    <mergeCell ref="J18:M33"/>
    <mergeCell ref="B30:C30"/>
    <mergeCell ref="B20:C20"/>
    <mergeCell ref="B21:C21"/>
    <mergeCell ref="B22:C22"/>
    <mergeCell ref="B23:C23"/>
    <mergeCell ref="B24:C24"/>
    <mergeCell ref="B26:C26"/>
    <mergeCell ref="B27:C27"/>
    <mergeCell ref="B18:C18"/>
  </mergeCells>
  <conditionalFormatting sqref="D12:H29">
    <cfRule type="cellIs" dxfId="30" priority="1" operator="lessThan">
      <formula>3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1A2B7-855D-4944-9077-BCFF00D11537}">
  <sheetPr>
    <tabColor theme="9" tint="-0.499984740745262"/>
    <pageSetUpPr fitToPage="1"/>
  </sheetPr>
  <dimension ref="B2:N47"/>
  <sheetViews>
    <sheetView showGridLines="0" topLeftCell="A69" workbookViewId="0">
      <selection activeCell="G77" sqref="G77"/>
    </sheetView>
  </sheetViews>
  <sheetFormatPr defaultColWidth="12.5703125" defaultRowHeight="15.75" customHeight="1" x14ac:dyDescent="0.2"/>
  <cols>
    <col min="1" max="1" width="3.42578125" customWidth="1"/>
    <col min="2" max="2" width="14.140625" customWidth="1"/>
    <col min="3" max="3" width="12.5703125" customWidth="1"/>
    <col min="4" max="4" width="17.28515625" bestFit="1" customWidth="1"/>
    <col min="5" max="9" width="12.5703125" customWidth="1"/>
    <col min="10" max="10" width="36.28515625" customWidth="1"/>
    <col min="11" max="20" width="7.5703125" customWidth="1"/>
  </cols>
  <sheetData>
    <row r="2" spans="2:10" ht="55.5" customHeight="1" x14ac:dyDescent="0.2">
      <c r="B2" s="670"/>
      <c r="C2" s="671"/>
      <c r="D2" s="672"/>
      <c r="E2" s="673" t="s">
        <v>213</v>
      </c>
      <c r="F2" s="671"/>
      <c r="G2" s="671"/>
      <c r="H2" s="671"/>
      <c r="I2" s="671"/>
      <c r="J2" s="672"/>
    </row>
    <row r="3" spans="2:10" ht="22.5" customHeight="1" x14ac:dyDescent="0.2">
      <c r="B3" s="46"/>
      <c r="C3" s="46"/>
      <c r="D3" s="47"/>
      <c r="E3" s="47"/>
      <c r="F3" s="47"/>
      <c r="G3" s="47"/>
      <c r="H3" s="47"/>
      <c r="I3" s="47"/>
    </row>
    <row r="4" spans="2:10" ht="42" customHeight="1" x14ac:dyDescent="0.2">
      <c r="B4" s="594" t="s">
        <v>214</v>
      </c>
      <c r="C4" s="596"/>
      <c r="D4" s="674" t="str">
        <f>Índex!B47</f>
        <v>PC3.04_Ind03.</v>
      </c>
      <c r="E4" s="672"/>
      <c r="F4" s="594" t="s">
        <v>215</v>
      </c>
      <c r="G4" s="596"/>
      <c r="H4" s="674" t="str">
        <f>Índex!C47</f>
        <v>Valoració mitjana a l’afirmació “Els continguts de les proves i altres activitats d’avaluació es corresponen amb els continguts del curs i també amb el temps que el professorat va dedicar a cada tema</v>
      </c>
      <c r="I4" s="671"/>
      <c r="J4" s="672"/>
    </row>
    <row r="5" spans="2:10" ht="22.5" customHeight="1" x14ac:dyDescent="0.2">
      <c r="B5" s="594" t="s">
        <v>216</v>
      </c>
      <c r="C5" s="596"/>
      <c r="D5" s="674" t="str">
        <f>Índex!F47</f>
        <v>≥ 3</v>
      </c>
      <c r="E5" s="672"/>
      <c r="F5" s="732" t="s">
        <v>217</v>
      </c>
      <c r="G5" s="596"/>
      <c r="H5" s="775" t="s">
        <v>241</v>
      </c>
      <c r="I5" s="671"/>
      <c r="J5" s="636"/>
    </row>
    <row r="6" spans="2:10" ht="22.5" customHeight="1" x14ac:dyDescent="0.2">
      <c r="B6" s="594" t="s">
        <v>219</v>
      </c>
      <c r="C6" s="596"/>
      <c r="D6" s="674" t="s">
        <v>220</v>
      </c>
      <c r="E6" s="672"/>
      <c r="F6" s="594" t="s">
        <v>242</v>
      </c>
      <c r="G6" s="596"/>
      <c r="H6" s="12" t="str">
        <f>Índex!E47</f>
        <v>Gestora de Qualitat</v>
      </c>
      <c r="J6" s="19"/>
    </row>
    <row r="7" spans="2:10" ht="22.5" customHeight="1" x14ac:dyDescent="0.2">
      <c r="B7" s="594" t="s">
        <v>222</v>
      </c>
      <c r="C7" s="596"/>
      <c r="D7" s="674" t="str">
        <f>Índex!G47</f>
        <v>PC3.04. Avaluació de l’Alumnat</v>
      </c>
      <c r="E7" s="671"/>
      <c r="F7" s="671"/>
      <c r="G7" s="671"/>
      <c r="H7" s="671"/>
      <c r="I7" s="671"/>
      <c r="J7" s="672"/>
    </row>
    <row r="8" spans="2:10" ht="7.5" customHeight="1" x14ac:dyDescent="0.2"/>
    <row r="9" spans="2:10" ht="22.5" customHeight="1" x14ac:dyDescent="0.2">
      <c r="B9" s="594" t="s">
        <v>223</v>
      </c>
      <c r="C9" s="595"/>
      <c r="D9" s="595"/>
      <c r="E9" s="595"/>
      <c r="F9" s="595"/>
      <c r="G9" s="595"/>
      <c r="H9" s="595"/>
      <c r="I9" s="595"/>
      <c r="J9" s="596"/>
    </row>
    <row r="10" spans="2:10" ht="22.5" customHeight="1" x14ac:dyDescent="0.2"/>
    <row r="11" spans="2:10" ht="22.5" customHeight="1" x14ac:dyDescent="0.2">
      <c r="B11" s="815"/>
      <c r="C11" s="815"/>
      <c r="D11" s="94" t="s">
        <v>224</v>
      </c>
      <c r="E11" s="94" t="s">
        <v>225</v>
      </c>
      <c r="F11" s="94" t="s">
        <v>226</v>
      </c>
      <c r="G11" s="94" t="s">
        <v>227</v>
      </c>
      <c r="H11" s="94" t="s">
        <v>228</v>
      </c>
      <c r="I11" s="94" t="s">
        <v>229</v>
      </c>
    </row>
    <row r="12" spans="2:10" ht="22.5" customHeight="1" x14ac:dyDescent="0.2">
      <c r="B12" s="627" t="s">
        <v>244</v>
      </c>
      <c r="C12" s="627"/>
      <c r="D12" s="31">
        <f>(2.63+2.82)/2</f>
        <v>2.7249999999999996</v>
      </c>
      <c r="E12" s="31">
        <f>(2.98+2.88)/2</f>
        <v>2.9299999999999997</v>
      </c>
      <c r="F12" s="31">
        <v>3.05</v>
      </c>
      <c r="G12" s="31">
        <f>(3.05+2.76)/2</f>
        <v>2.9049999999999998</v>
      </c>
      <c r="H12" s="31">
        <v>3.05</v>
      </c>
      <c r="I12" s="31">
        <v>3.05</v>
      </c>
    </row>
    <row r="13" spans="2:10" ht="22.5" customHeight="1" x14ac:dyDescent="0.2">
      <c r="B13" s="627" t="s">
        <v>245</v>
      </c>
      <c r="C13" s="627"/>
      <c r="D13" s="31" t="s">
        <v>296</v>
      </c>
      <c r="E13" s="31" t="s">
        <v>296</v>
      </c>
      <c r="F13" s="31">
        <v>2.94</v>
      </c>
      <c r="G13" s="31" t="s">
        <v>237</v>
      </c>
      <c r="H13" s="31" t="s">
        <v>237</v>
      </c>
      <c r="I13" s="31" t="s">
        <v>237</v>
      </c>
    </row>
    <row r="14" spans="2:10" ht="22.5" customHeight="1" x14ac:dyDescent="0.2">
      <c r="B14" s="627" t="s">
        <v>246</v>
      </c>
      <c r="C14" s="627"/>
      <c r="D14" s="31">
        <f>(2.75+2.96)/2</f>
        <v>2.855</v>
      </c>
      <c r="E14" s="31">
        <f>(3.02+2.96)/2</f>
        <v>2.99</v>
      </c>
      <c r="F14" s="31">
        <v>3.07</v>
      </c>
      <c r="G14" s="31">
        <v>2.33</v>
      </c>
      <c r="H14" s="31">
        <v>3.05</v>
      </c>
      <c r="I14" s="31">
        <v>3.08</v>
      </c>
    </row>
    <row r="15" spans="2:10" ht="22.5" customHeight="1" x14ac:dyDescent="0.2">
      <c r="B15" s="627" t="s">
        <v>247</v>
      </c>
      <c r="C15" s="627"/>
      <c r="D15" s="31">
        <f>(2.48+2.8)/2</f>
        <v>2.6399999999999997</v>
      </c>
      <c r="E15" s="31">
        <f>(2.94+2.98)/2</f>
        <v>2.96</v>
      </c>
      <c r="F15" s="31">
        <v>2.67</v>
      </c>
      <c r="G15" s="31">
        <f>(2.92+3.08)/2</f>
        <v>3</v>
      </c>
      <c r="H15" s="31">
        <v>3.08</v>
      </c>
      <c r="I15" s="31">
        <v>2.97</v>
      </c>
    </row>
    <row r="16" spans="2:10" ht="22.5" customHeight="1" x14ac:dyDescent="0.2">
      <c r="B16" s="627" t="s">
        <v>248</v>
      </c>
      <c r="C16" s="627"/>
      <c r="D16" s="31" t="s">
        <v>296</v>
      </c>
      <c r="E16" s="31" t="s">
        <v>296</v>
      </c>
      <c r="F16" s="31">
        <v>2.82</v>
      </c>
      <c r="G16" s="31">
        <f>(3.19+2.98)/2</f>
        <v>3.085</v>
      </c>
      <c r="H16" s="31">
        <v>2.94</v>
      </c>
      <c r="I16" s="31">
        <v>2.79</v>
      </c>
    </row>
    <row r="17" spans="2:14" ht="22.5" customHeight="1" x14ac:dyDescent="0.2">
      <c r="B17" s="627" t="s">
        <v>249</v>
      </c>
      <c r="C17" s="627"/>
      <c r="D17" s="31" t="s">
        <v>296</v>
      </c>
      <c r="E17" s="31" t="s">
        <v>296</v>
      </c>
      <c r="F17" s="31">
        <v>2.89</v>
      </c>
      <c r="G17" s="31">
        <f>(3.15+2.38)/2</f>
        <v>2.7649999999999997</v>
      </c>
      <c r="H17" s="31">
        <v>2.76</v>
      </c>
      <c r="I17" s="31">
        <v>2.79</v>
      </c>
      <c r="K17" s="21"/>
      <c r="L17" s="21"/>
      <c r="M17" s="21"/>
    </row>
    <row r="18" spans="2:14" ht="22.5" customHeight="1" x14ac:dyDescent="0.2">
      <c r="B18" s="627" t="s">
        <v>250</v>
      </c>
      <c r="C18" s="627"/>
      <c r="D18" s="31">
        <f>(2.81+2.55)/2</f>
        <v>2.6799999999999997</v>
      </c>
      <c r="E18" s="31">
        <f>(2.56+2.81)/2</f>
        <v>2.6850000000000001</v>
      </c>
      <c r="F18" s="31">
        <v>2.81</v>
      </c>
      <c r="G18" s="31">
        <f>(2.9+2.92)/2</f>
        <v>2.91</v>
      </c>
      <c r="H18" s="31">
        <v>3.15</v>
      </c>
      <c r="I18" s="31">
        <v>2.95</v>
      </c>
      <c r="K18" s="21"/>
      <c r="L18" s="21"/>
      <c r="M18" s="21"/>
    </row>
    <row r="19" spans="2:14" ht="22.5" customHeight="1" x14ac:dyDescent="0.2">
      <c r="B19" s="627" t="s">
        <v>251</v>
      </c>
      <c r="C19" s="627"/>
      <c r="D19" s="31" t="s">
        <v>237</v>
      </c>
      <c r="E19" s="31">
        <f>(3.24+3.13)/2</f>
        <v>3.1850000000000001</v>
      </c>
      <c r="F19" s="31">
        <v>3.43</v>
      </c>
      <c r="G19" s="31">
        <f>(3.25+2.89)/2</f>
        <v>3.0700000000000003</v>
      </c>
      <c r="H19" s="31">
        <v>3.09</v>
      </c>
      <c r="I19" s="31">
        <v>3.05</v>
      </c>
      <c r="K19" s="21"/>
      <c r="L19" s="21"/>
      <c r="M19" s="21"/>
    </row>
    <row r="20" spans="2:14" ht="22.5" customHeight="1" x14ac:dyDescent="0.2">
      <c r="B20" s="627" t="s">
        <v>252</v>
      </c>
      <c r="C20" s="627"/>
      <c r="D20" s="31">
        <f>(2.88+2.78)/2</f>
        <v>2.83</v>
      </c>
      <c r="E20" s="31">
        <f>(2.98+3.2)/2</f>
        <v>3.09</v>
      </c>
      <c r="F20" s="31">
        <v>3.05</v>
      </c>
      <c r="G20" s="31">
        <f>(3.35+3.12)/2</f>
        <v>3.2350000000000003</v>
      </c>
      <c r="H20" s="31">
        <v>3.05</v>
      </c>
      <c r="I20" s="31">
        <v>3.27</v>
      </c>
      <c r="K20" s="21"/>
      <c r="L20" s="21"/>
      <c r="M20" s="21"/>
    </row>
    <row r="21" spans="2:14" ht="22.5" customHeight="1" x14ac:dyDescent="0.2">
      <c r="B21" s="627" t="s">
        <v>253</v>
      </c>
      <c r="C21" s="627"/>
      <c r="D21" s="31">
        <f>(2.74+2.82)/2</f>
        <v>2.7800000000000002</v>
      </c>
      <c r="E21" s="31">
        <f>(3.02+2.95)/2</f>
        <v>2.9850000000000003</v>
      </c>
      <c r="F21" s="31">
        <v>2.97</v>
      </c>
      <c r="G21" s="31">
        <f>(3.11+2.75)/2</f>
        <v>2.9299999999999997</v>
      </c>
      <c r="H21" s="31">
        <v>3.2</v>
      </c>
      <c r="I21" s="31">
        <v>3.22</v>
      </c>
      <c r="K21" s="21"/>
      <c r="L21" s="21"/>
      <c r="M21" s="21"/>
    </row>
    <row r="22" spans="2:14" ht="22.5" customHeight="1" x14ac:dyDescent="0.2">
      <c r="B22" s="627" t="s">
        <v>267</v>
      </c>
      <c r="C22" s="627"/>
      <c r="D22" s="31">
        <f>(3.44+2.33)/2</f>
        <v>2.8849999999999998</v>
      </c>
      <c r="E22" s="31">
        <f>(3.33+2.86)/2</f>
        <v>3.0949999999999998</v>
      </c>
      <c r="F22" s="31">
        <v>2.95</v>
      </c>
      <c r="G22" s="31" t="s">
        <v>296</v>
      </c>
      <c r="H22" s="31">
        <v>3.48</v>
      </c>
      <c r="I22" s="31">
        <v>3.37</v>
      </c>
      <c r="K22" s="21"/>
      <c r="L22" s="21"/>
      <c r="M22" s="21"/>
    </row>
    <row r="23" spans="2:14" ht="22.5" customHeight="1" x14ac:dyDescent="0.2">
      <c r="B23" s="627" t="s">
        <v>298</v>
      </c>
      <c r="C23" s="627"/>
      <c r="D23" s="31">
        <v>3.45</v>
      </c>
      <c r="E23" s="31">
        <f>(2.76+3.3)/2</f>
        <v>3.03</v>
      </c>
      <c r="F23" s="31">
        <v>2.87</v>
      </c>
      <c r="G23" s="31">
        <v>3.21</v>
      </c>
      <c r="H23" s="31">
        <v>2.56</v>
      </c>
      <c r="I23" s="31">
        <v>4</v>
      </c>
      <c r="K23" s="21"/>
      <c r="L23" s="21"/>
      <c r="M23" s="21"/>
    </row>
    <row r="24" spans="2:14" ht="22.5" customHeight="1" x14ac:dyDescent="0.2">
      <c r="B24" s="627" t="s">
        <v>281</v>
      </c>
      <c r="C24" s="627"/>
      <c r="D24" s="31">
        <f>(1.88+3.13)/2</f>
        <v>2.5049999999999999</v>
      </c>
      <c r="E24" s="31">
        <f>(3.55+3.17)/2</f>
        <v>3.36</v>
      </c>
      <c r="F24" s="31">
        <v>3.39</v>
      </c>
      <c r="G24" s="31">
        <f>(4+3.42)/2</f>
        <v>3.71</v>
      </c>
      <c r="H24" s="31">
        <v>3.5</v>
      </c>
      <c r="I24" s="31">
        <v>3.55</v>
      </c>
      <c r="K24" s="21"/>
      <c r="L24" s="21"/>
      <c r="M24" s="21"/>
    </row>
    <row r="25" spans="2:14" ht="22.5" customHeight="1" x14ac:dyDescent="0.2">
      <c r="B25" s="627" t="s">
        <v>270</v>
      </c>
      <c r="C25" s="627"/>
      <c r="D25" s="31" t="s">
        <v>296</v>
      </c>
      <c r="E25" s="31">
        <v>2.8</v>
      </c>
      <c r="F25" s="31">
        <v>3.32</v>
      </c>
      <c r="G25" s="31">
        <v>2.83</v>
      </c>
      <c r="H25" s="31" t="s">
        <v>237</v>
      </c>
      <c r="I25" s="31" t="s">
        <v>237</v>
      </c>
      <c r="K25" s="21"/>
      <c r="L25" s="21"/>
      <c r="M25" s="21"/>
    </row>
    <row r="26" spans="2:14" ht="22.5" customHeight="1" x14ac:dyDescent="0.2">
      <c r="B26" s="627" t="s">
        <v>283</v>
      </c>
      <c r="C26" s="627"/>
      <c r="D26" s="31" t="s">
        <v>296</v>
      </c>
      <c r="E26" s="31">
        <f>(2.86+2.5)/2</f>
        <v>2.6799999999999997</v>
      </c>
      <c r="F26" s="31">
        <v>3.04</v>
      </c>
      <c r="G26" s="31" t="s">
        <v>237</v>
      </c>
      <c r="H26" s="31">
        <v>2.4</v>
      </c>
      <c r="I26" s="31">
        <v>3.01</v>
      </c>
      <c r="K26" s="70" t="s">
        <v>234</v>
      </c>
      <c r="L26" s="145"/>
      <c r="M26" s="145"/>
      <c r="N26" s="209"/>
    </row>
    <row r="27" spans="2:14" ht="22.5" customHeight="1" x14ac:dyDescent="0.2">
      <c r="B27" s="627" t="s">
        <v>271</v>
      </c>
      <c r="C27" s="627"/>
      <c r="D27" s="31" t="s">
        <v>296</v>
      </c>
      <c r="E27" s="31">
        <v>3.6</v>
      </c>
      <c r="F27" s="31">
        <v>3.25</v>
      </c>
      <c r="G27" s="31" t="s">
        <v>237</v>
      </c>
      <c r="H27" s="31" t="s">
        <v>237</v>
      </c>
      <c r="I27" s="31" t="s">
        <v>237</v>
      </c>
      <c r="K27" s="9"/>
      <c r="L27" s="9"/>
      <c r="M27" s="9"/>
      <c r="N27" s="9"/>
    </row>
    <row r="28" spans="2:14" ht="22.5" customHeight="1" x14ac:dyDescent="0.2">
      <c r="B28" s="627" t="s">
        <v>285</v>
      </c>
      <c r="C28" s="627"/>
      <c r="D28" s="31">
        <f>(3+2.89)/2</f>
        <v>2.9450000000000003</v>
      </c>
      <c r="E28" s="31">
        <f>(3.02+2.95)/2</f>
        <v>2.9850000000000003</v>
      </c>
      <c r="F28" s="31">
        <v>2.74</v>
      </c>
      <c r="G28" s="31" t="s">
        <v>237</v>
      </c>
      <c r="H28" s="31" t="s">
        <v>237</v>
      </c>
      <c r="I28" s="31">
        <v>3.04</v>
      </c>
      <c r="K28" s="634" t="s">
        <v>516</v>
      </c>
      <c r="L28" s="580"/>
      <c r="M28" s="580"/>
      <c r="N28" s="581"/>
    </row>
    <row r="29" spans="2:14" ht="22.5" customHeight="1" x14ac:dyDescent="0.2">
      <c r="B29" s="627" t="s">
        <v>254</v>
      </c>
      <c r="C29" s="627"/>
      <c r="D29" s="31">
        <f>(2.58+2.88)/2</f>
        <v>2.73</v>
      </c>
      <c r="E29" s="31">
        <v>3.11</v>
      </c>
      <c r="F29" s="31">
        <v>3.09</v>
      </c>
      <c r="G29" s="31">
        <f>(2.94+3.04)/2</f>
        <v>2.99</v>
      </c>
      <c r="H29" s="31">
        <v>3.11</v>
      </c>
      <c r="I29" s="31" t="s">
        <v>237</v>
      </c>
      <c r="K29" s="582"/>
      <c r="L29" s="583"/>
      <c r="M29" s="583"/>
      <c r="N29" s="584"/>
    </row>
    <row r="30" spans="2:14" ht="22.5" customHeight="1" x14ac:dyDescent="0.2">
      <c r="B30" s="816" t="str">
        <f>D5</f>
        <v>≥ 3</v>
      </c>
      <c r="C30" s="816"/>
      <c r="D30" s="51">
        <f>COUNTIF(D12:D29,"&gt;=3")</f>
        <v>1</v>
      </c>
      <c r="E30" s="51">
        <f t="shared" ref="E30:G30" si="0">COUNTIF(E12:E29,"&gt;=3")</f>
        <v>7</v>
      </c>
      <c r="F30" s="51">
        <f t="shared" si="0"/>
        <v>9</v>
      </c>
      <c r="G30" s="51">
        <f t="shared" si="0"/>
        <v>6</v>
      </c>
      <c r="H30" s="51">
        <f>COUNTIF(H12:H29,"&gt;=3")</f>
        <v>10</v>
      </c>
      <c r="I30" s="51">
        <f>COUNTIF(I12:I29,"&gt;=3")</f>
        <v>10</v>
      </c>
      <c r="K30" s="582"/>
      <c r="L30" s="583"/>
      <c r="M30" s="583"/>
      <c r="N30" s="584"/>
    </row>
    <row r="31" spans="2:14" ht="22.5" customHeight="1" x14ac:dyDescent="0.2">
      <c r="B31" s="689" t="s">
        <v>274</v>
      </c>
      <c r="C31" s="689"/>
      <c r="D31" s="51">
        <f>COUNT( D12:D29)</f>
        <v>11</v>
      </c>
      <c r="E31" s="51">
        <f>COUNT( E12:E29)</f>
        <v>15</v>
      </c>
      <c r="F31" s="51">
        <f>COUNT( F12:F29)</f>
        <v>18</v>
      </c>
      <c r="G31" s="51">
        <f>COUNT( G12:G29)</f>
        <v>13</v>
      </c>
      <c r="H31" s="51">
        <f>COUNT(H12:H29)</f>
        <v>14</v>
      </c>
      <c r="I31" s="51">
        <f>COUNT(I12:I29)</f>
        <v>14</v>
      </c>
      <c r="K31" s="582"/>
      <c r="L31" s="583"/>
      <c r="M31" s="583"/>
      <c r="N31" s="584"/>
    </row>
    <row r="32" spans="2:14" ht="22.5" customHeight="1" x14ac:dyDescent="0.2">
      <c r="B32" s="45" t="s">
        <v>231</v>
      </c>
      <c r="C32" s="12" t="str">
        <f>Índex!F47</f>
        <v>≥ 3</v>
      </c>
      <c r="D32" s="62">
        <v>3</v>
      </c>
      <c r="E32" s="62">
        <v>3</v>
      </c>
      <c r="F32" s="62">
        <v>3</v>
      </c>
      <c r="G32" s="62">
        <v>3</v>
      </c>
      <c r="H32" s="62">
        <v>3</v>
      </c>
      <c r="I32" s="62">
        <v>3</v>
      </c>
      <c r="K32" s="582"/>
      <c r="L32" s="583"/>
      <c r="M32" s="583"/>
      <c r="N32" s="584"/>
    </row>
    <row r="33" spans="2:14" ht="22.5" customHeight="1" x14ac:dyDescent="0.2">
      <c r="B33" s="685" t="s">
        <v>232</v>
      </c>
      <c r="C33" s="735"/>
      <c r="D33" s="52">
        <f t="shared" ref="D33:I33" si="1">D30/D31</f>
        <v>9.0909090909090912E-2</v>
      </c>
      <c r="E33" s="52">
        <f t="shared" si="1"/>
        <v>0.46666666666666667</v>
      </c>
      <c r="F33" s="52">
        <f t="shared" si="1"/>
        <v>0.5</v>
      </c>
      <c r="G33" s="52">
        <f t="shared" si="1"/>
        <v>0.46153846153846156</v>
      </c>
      <c r="H33" s="52">
        <f t="shared" si="1"/>
        <v>0.7142857142857143</v>
      </c>
      <c r="I33" s="52">
        <f t="shared" si="1"/>
        <v>0.7142857142857143</v>
      </c>
      <c r="K33" s="582"/>
      <c r="L33" s="583"/>
      <c r="M33" s="583"/>
      <c r="N33" s="584"/>
    </row>
    <row r="34" spans="2:14" ht="22.5" customHeight="1" x14ac:dyDescent="0.25">
      <c r="B34" s="7"/>
      <c r="C34" s="7"/>
      <c r="D34" s="6"/>
      <c r="E34" s="6"/>
      <c r="F34" s="6"/>
      <c r="G34" s="6"/>
      <c r="H34" s="6"/>
      <c r="I34" s="6"/>
      <c r="K34" s="582"/>
      <c r="L34" s="583"/>
      <c r="M34" s="583"/>
      <c r="N34" s="584"/>
    </row>
    <row r="35" spans="2:14" ht="22.5" customHeight="1" x14ac:dyDescent="0.2">
      <c r="B35" s="594" t="s">
        <v>233</v>
      </c>
      <c r="C35" s="595"/>
      <c r="D35" s="595"/>
      <c r="E35" s="596"/>
      <c r="F35" s="8"/>
      <c r="K35" s="582"/>
      <c r="L35" s="583"/>
      <c r="M35" s="583"/>
      <c r="N35" s="584"/>
    </row>
    <row r="36" spans="2:14" ht="22.5" customHeight="1" x14ac:dyDescent="0.2">
      <c r="B36" s="8"/>
      <c r="C36" s="8"/>
      <c r="D36" s="8"/>
      <c r="E36" s="8"/>
      <c r="F36" s="8"/>
      <c r="K36" s="585"/>
      <c r="L36" s="586"/>
      <c r="M36" s="586"/>
      <c r="N36" s="587"/>
    </row>
    <row r="37" spans="2:14" ht="6" customHeight="1" x14ac:dyDescent="0.2">
      <c r="B37" s="8"/>
      <c r="C37" s="8"/>
      <c r="D37" s="8"/>
      <c r="E37" s="8"/>
      <c r="F37" s="8"/>
    </row>
    <row r="38" spans="2:14" ht="19.5" customHeight="1" x14ac:dyDescent="0.2">
      <c r="B38" s="8"/>
      <c r="C38" s="8"/>
      <c r="D38" s="8"/>
      <c r="E38" s="8"/>
      <c r="F38" s="8"/>
    </row>
    <row r="39" spans="2:14" ht="19.5" customHeight="1" x14ac:dyDescent="0.2">
      <c r="B39" s="8"/>
      <c r="C39" s="8"/>
      <c r="D39" s="8"/>
      <c r="E39" s="8"/>
      <c r="F39" s="8"/>
    </row>
    <row r="40" spans="2:14" ht="19.5" customHeight="1" x14ac:dyDescent="0.2">
      <c r="B40" s="8"/>
      <c r="C40" s="8"/>
      <c r="D40" s="8"/>
      <c r="E40" s="8"/>
      <c r="F40" s="8"/>
    </row>
    <row r="41" spans="2:14" ht="19.5" customHeight="1" x14ac:dyDescent="0.2">
      <c r="B41" s="8"/>
      <c r="C41" s="8"/>
      <c r="D41" s="8"/>
      <c r="E41" s="8"/>
      <c r="F41" s="8"/>
    </row>
    <row r="42" spans="2:14" ht="19.5" customHeight="1" x14ac:dyDescent="0.2">
      <c r="B42" s="8"/>
      <c r="C42" s="8"/>
      <c r="D42" s="8"/>
      <c r="E42" s="8"/>
      <c r="F42" s="8"/>
    </row>
    <row r="43" spans="2:14" ht="19.5" customHeight="1" x14ac:dyDescent="0.2">
      <c r="B43" s="8"/>
      <c r="C43" s="8"/>
      <c r="D43" s="8"/>
      <c r="E43" s="8"/>
      <c r="F43" s="8"/>
    </row>
    <row r="44" spans="2:14" ht="19.5" customHeight="1" x14ac:dyDescent="0.2">
      <c r="B44" s="8"/>
      <c r="C44" s="8"/>
      <c r="D44" s="8"/>
      <c r="E44" s="8"/>
      <c r="F44" s="8"/>
    </row>
    <row r="45" spans="2:14" ht="19.5" customHeight="1" x14ac:dyDescent="0.2">
      <c r="B45" s="8"/>
      <c r="C45" s="8"/>
      <c r="D45" s="8"/>
      <c r="E45" s="8"/>
      <c r="F45" s="8"/>
    </row>
    <row r="46" spans="2:14" ht="19.5" customHeight="1" x14ac:dyDescent="0.2"/>
    <row r="47" spans="2:14" ht="19.5" customHeight="1" x14ac:dyDescent="0.2">
      <c r="H47" s="588" t="s">
        <v>172</v>
      </c>
      <c r="I47" s="589"/>
      <c r="J47" s="589"/>
    </row>
  </sheetData>
  <sheetProtection sheet="1" formatCells="0" formatColumns="0" formatRows="0" insertColumns="0" insertRows="0" insertHyperlinks="0" deleteColumns="0" deleteRows="0" pivotTables="0"/>
  <mergeCells count="41">
    <mergeCell ref="B21:C21"/>
    <mergeCell ref="H47:J47"/>
    <mergeCell ref="B11:C11"/>
    <mergeCell ref="B22:C22"/>
    <mergeCell ref="B23:C23"/>
    <mergeCell ref="B24:C24"/>
    <mergeCell ref="B25:C25"/>
    <mergeCell ref="B26:C26"/>
    <mergeCell ref="B27:C27"/>
    <mergeCell ref="B28:C28"/>
    <mergeCell ref="B30:C30"/>
    <mergeCell ref="B31:C31"/>
    <mergeCell ref="B33:C33"/>
    <mergeCell ref="B35:E35"/>
    <mergeCell ref="B16:C16"/>
    <mergeCell ref="B17:C17"/>
    <mergeCell ref="B18:C18"/>
    <mergeCell ref="B19:C19"/>
    <mergeCell ref="B20:C20"/>
    <mergeCell ref="K28:N36"/>
    <mergeCell ref="B5:C5"/>
    <mergeCell ref="D5:E5"/>
    <mergeCell ref="F5:G5"/>
    <mergeCell ref="H5:J5"/>
    <mergeCell ref="B6:C6"/>
    <mergeCell ref="D6:E6"/>
    <mergeCell ref="F6:G6"/>
    <mergeCell ref="B7:C7"/>
    <mergeCell ref="D7:J7"/>
    <mergeCell ref="B29:C29"/>
    <mergeCell ref="B9:J9"/>
    <mergeCell ref="B12:C12"/>
    <mergeCell ref="B13:C13"/>
    <mergeCell ref="B14:C14"/>
    <mergeCell ref="B15:C15"/>
    <mergeCell ref="B2:D2"/>
    <mergeCell ref="E2:J2"/>
    <mergeCell ref="B4:C4"/>
    <mergeCell ref="D4:E4"/>
    <mergeCell ref="F4:G4"/>
    <mergeCell ref="H4:J4"/>
  </mergeCells>
  <conditionalFormatting sqref="D12:I29">
    <cfRule type="cellIs" dxfId="29" priority="1" operator="lessThan">
      <formula>3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FC94E-E75C-413B-B488-0F3A0F724A0F}">
  <sheetPr>
    <tabColor theme="9" tint="-0.499984740745262"/>
    <pageSetUpPr fitToPage="1"/>
  </sheetPr>
  <dimension ref="B2:J32"/>
  <sheetViews>
    <sheetView showGridLines="0" topLeftCell="A26" zoomScale="124" zoomScaleNormal="124" workbookViewId="0">
      <selection activeCell="F35" sqref="F35"/>
    </sheetView>
  </sheetViews>
  <sheetFormatPr defaultColWidth="12.5703125" defaultRowHeight="15.75" customHeight="1" x14ac:dyDescent="0.2"/>
  <cols>
    <col min="1" max="1" width="3.42578125" customWidth="1"/>
    <col min="2" max="2" width="16.7109375" bestFit="1" customWidth="1"/>
    <col min="3" max="3" width="12.5703125" customWidth="1"/>
    <col min="4" max="4" width="17.28515625" bestFit="1" customWidth="1"/>
    <col min="5" max="5" width="12.5703125" customWidth="1"/>
    <col min="6" max="6" width="16.7109375" customWidth="1"/>
    <col min="7" max="9" width="12.5703125" customWidth="1"/>
    <col min="10" max="10" width="36.28515625" customWidth="1"/>
    <col min="11" max="11" width="8.85546875" customWidth="1"/>
    <col min="12" max="21" width="7.5703125" customWidth="1"/>
  </cols>
  <sheetData>
    <row r="2" spans="2:10" ht="55.5" customHeight="1" x14ac:dyDescent="0.2">
      <c r="B2" s="670"/>
      <c r="C2" s="671"/>
      <c r="D2" s="672"/>
      <c r="E2" s="673" t="s">
        <v>213</v>
      </c>
      <c r="F2" s="671"/>
      <c r="G2" s="671"/>
      <c r="H2" s="671"/>
      <c r="I2" s="671"/>
      <c r="J2" s="672"/>
    </row>
    <row r="3" spans="2:10" ht="22.5" customHeight="1" x14ac:dyDescent="0.2">
      <c r="B3" s="46"/>
      <c r="C3" s="46"/>
      <c r="D3" s="47"/>
      <c r="E3" s="47"/>
      <c r="F3" s="47"/>
      <c r="G3" s="47"/>
      <c r="H3" s="47"/>
      <c r="I3" s="47"/>
    </row>
    <row r="4" spans="2:10" ht="42" customHeight="1" x14ac:dyDescent="0.2">
      <c r="B4" s="594" t="s">
        <v>214</v>
      </c>
      <c r="C4" s="596"/>
      <c r="D4" s="674" t="str">
        <f>Índex!B48</f>
        <v>PC3.05_Ind01.</v>
      </c>
      <c r="E4" s="672"/>
      <c r="F4" s="594" t="s">
        <v>215</v>
      </c>
      <c r="G4" s="596"/>
      <c r="H4" s="674" t="str">
        <f>Índex!C48</f>
        <v>Nombre de persones inscrites a les Jornades de Portes Obertes</v>
      </c>
      <c r="I4" s="671"/>
      <c r="J4" s="672"/>
    </row>
    <row r="5" spans="2:10" ht="22.5" customHeight="1" x14ac:dyDescent="0.2">
      <c r="B5" s="594" t="s">
        <v>216</v>
      </c>
      <c r="C5" s="596"/>
      <c r="D5" s="674" t="str">
        <f>Índex!F48</f>
        <v>≥ 2000</v>
      </c>
      <c r="E5" s="672"/>
      <c r="F5" s="732" t="s">
        <v>217</v>
      </c>
      <c r="G5" s="596"/>
      <c r="H5" s="840" t="s">
        <v>218</v>
      </c>
      <c r="I5" s="635"/>
      <c r="J5" s="636"/>
    </row>
    <row r="6" spans="2:10" ht="22.5" customHeight="1" x14ac:dyDescent="0.2">
      <c r="B6" s="594" t="s">
        <v>219</v>
      </c>
      <c r="C6" s="596"/>
      <c r="D6" s="674" t="s">
        <v>220</v>
      </c>
      <c r="E6" s="672"/>
      <c r="F6" s="594" t="s">
        <v>242</v>
      </c>
      <c r="G6" s="596"/>
      <c r="H6" s="116" t="str">
        <f>Índex!E48</f>
        <v xml:space="preserve">Secretària de Deganat </v>
      </c>
      <c r="I6" s="40"/>
      <c r="J6" s="19"/>
    </row>
    <row r="7" spans="2:10" ht="22.5" customHeight="1" x14ac:dyDescent="0.2">
      <c r="B7" s="594" t="s">
        <v>222</v>
      </c>
      <c r="C7" s="596"/>
      <c r="D7" s="674" t="str">
        <f>Índex!G48</f>
        <v>PC3.05. Activitats de Promoció i Difusió</v>
      </c>
      <c r="E7" s="671"/>
      <c r="F7" s="671"/>
      <c r="G7" s="671"/>
      <c r="H7" s="671"/>
      <c r="I7" s="671"/>
      <c r="J7" s="672"/>
    </row>
    <row r="8" spans="2:10" ht="7.5" customHeight="1" x14ac:dyDescent="0.2"/>
    <row r="9" spans="2:10" ht="22.5" customHeight="1" x14ac:dyDescent="0.2">
      <c r="B9" s="594" t="s">
        <v>223</v>
      </c>
      <c r="C9" s="595"/>
      <c r="D9" s="595"/>
      <c r="E9" s="595"/>
      <c r="F9" s="595"/>
      <c r="G9" s="595"/>
      <c r="H9" s="595"/>
      <c r="I9" s="595"/>
      <c r="J9" s="596"/>
    </row>
    <row r="10" spans="2:10" ht="22.5" customHeight="1" x14ac:dyDescent="0.2">
      <c r="B10" s="14"/>
      <c r="C10" s="13"/>
      <c r="D10" s="13"/>
      <c r="E10" s="13"/>
      <c r="F10" s="13"/>
      <c r="G10" s="13"/>
      <c r="H10" s="13"/>
      <c r="I10" s="13"/>
      <c r="J10" s="13"/>
    </row>
    <row r="11" spans="2:10" ht="22.5" customHeight="1" x14ac:dyDescent="0.2">
      <c r="C11" s="103" t="s">
        <v>225</v>
      </c>
      <c r="D11" s="103" t="s">
        <v>226</v>
      </c>
      <c r="E11" s="103" t="s">
        <v>227</v>
      </c>
      <c r="F11" s="103" t="s">
        <v>228</v>
      </c>
      <c r="G11" s="103" t="s">
        <v>229</v>
      </c>
      <c r="H11" s="13"/>
      <c r="I11" s="13"/>
      <c r="J11" s="13"/>
    </row>
    <row r="12" spans="2:10" ht="39" customHeight="1" thickBot="1" x14ac:dyDescent="0.3">
      <c r="B12" s="248" t="s">
        <v>517</v>
      </c>
      <c r="C12" s="170">
        <v>3555</v>
      </c>
      <c r="D12" s="171">
        <v>3073</v>
      </c>
      <c r="E12" s="171">
        <v>3361</v>
      </c>
      <c r="F12" s="171">
        <v>2839</v>
      </c>
      <c r="G12" s="171">
        <v>4644</v>
      </c>
      <c r="H12" s="13"/>
      <c r="I12" s="13"/>
      <c r="J12" s="13"/>
    </row>
    <row r="13" spans="2:10" ht="22.5" customHeight="1" x14ac:dyDescent="0.2">
      <c r="B13" s="227" t="s">
        <v>518</v>
      </c>
      <c r="C13" s="12">
        <v>2000</v>
      </c>
      <c r="D13" s="12">
        <v>2000</v>
      </c>
      <c r="E13" s="12">
        <v>2000</v>
      </c>
      <c r="F13" s="12">
        <v>2000</v>
      </c>
      <c r="G13" s="12">
        <v>2000</v>
      </c>
      <c r="H13" s="13"/>
      <c r="I13" s="13"/>
      <c r="J13" s="13"/>
    </row>
    <row r="14" spans="2:10" ht="22.5" customHeight="1" x14ac:dyDescent="0.2">
      <c r="B14" s="227" t="s">
        <v>240</v>
      </c>
      <c r="C14" s="135">
        <v>1</v>
      </c>
      <c r="D14" s="135">
        <v>1</v>
      </c>
      <c r="E14" s="135">
        <v>1</v>
      </c>
      <c r="F14" s="135">
        <v>1</v>
      </c>
      <c r="G14" s="135">
        <v>1</v>
      </c>
      <c r="H14" s="13"/>
      <c r="I14" s="13"/>
      <c r="J14" s="13"/>
    </row>
    <row r="20" spans="2:10" ht="22.5" customHeight="1" x14ac:dyDescent="0.2">
      <c r="B20" s="594" t="s">
        <v>233</v>
      </c>
      <c r="C20" s="595"/>
      <c r="D20" s="595"/>
      <c r="E20" s="596"/>
      <c r="F20" s="21"/>
      <c r="G20" s="682" t="s">
        <v>234</v>
      </c>
      <c r="H20" s="595"/>
      <c r="I20" s="595"/>
      <c r="J20" s="596"/>
    </row>
    <row r="21" spans="2:10" ht="22.5" customHeight="1" x14ac:dyDescent="0.2">
      <c r="B21" s="8"/>
      <c r="C21" s="8"/>
      <c r="D21" s="8"/>
      <c r="E21" s="8"/>
      <c r="F21" s="8"/>
      <c r="G21" s="9"/>
      <c r="H21" s="9"/>
      <c r="I21" s="9"/>
      <c r="J21" s="9"/>
    </row>
    <row r="22" spans="2:10" ht="6" customHeight="1" x14ac:dyDescent="0.2">
      <c r="B22" s="8"/>
      <c r="C22" s="8"/>
      <c r="D22" s="8"/>
      <c r="E22" s="8"/>
      <c r="F22" s="8"/>
      <c r="G22" s="579" t="s">
        <v>172</v>
      </c>
      <c r="H22" s="580"/>
      <c r="I22" s="580"/>
      <c r="J22" s="581"/>
    </row>
    <row r="23" spans="2:10" ht="19.5" customHeight="1" x14ac:dyDescent="0.2">
      <c r="B23" s="8"/>
      <c r="C23" s="8"/>
      <c r="D23" s="8"/>
      <c r="E23" s="8"/>
      <c r="F23" s="8"/>
      <c r="G23" s="582"/>
      <c r="H23" s="583"/>
      <c r="I23" s="583"/>
      <c r="J23" s="584"/>
    </row>
    <row r="24" spans="2:10" ht="19.5" customHeight="1" x14ac:dyDescent="0.2">
      <c r="B24" s="8"/>
      <c r="C24" s="8"/>
      <c r="D24" s="8"/>
      <c r="E24" s="8"/>
      <c r="F24" s="8"/>
      <c r="G24" s="582"/>
      <c r="H24" s="583"/>
      <c r="I24" s="583"/>
      <c r="J24" s="584"/>
    </row>
    <row r="25" spans="2:10" ht="19.5" customHeight="1" x14ac:dyDescent="0.2">
      <c r="B25" s="8"/>
      <c r="C25" s="8"/>
      <c r="D25" s="8"/>
      <c r="E25" s="8"/>
      <c r="F25" s="8"/>
      <c r="G25" s="582"/>
      <c r="H25" s="583"/>
      <c r="I25" s="583"/>
      <c r="J25" s="584"/>
    </row>
    <row r="26" spans="2:10" ht="19.5" customHeight="1" x14ac:dyDescent="0.2">
      <c r="B26" s="8"/>
      <c r="C26" s="8"/>
      <c r="D26" s="8"/>
      <c r="E26" s="8"/>
      <c r="F26" s="8"/>
      <c r="G26" s="582"/>
      <c r="H26" s="583"/>
      <c r="I26" s="583"/>
      <c r="J26" s="584"/>
    </row>
    <row r="27" spans="2:10" ht="19.5" customHeight="1" x14ac:dyDescent="0.2">
      <c r="B27" s="8"/>
      <c r="C27" s="8"/>
      <c r="D27" s="8"/>
      <c r="E27" s="8"/>
      <c r="F27" s="8"/>
      <c r="G27" s="582"/>
      <c r="H27" s="583"/>
      <c r="I27" s="583"/>
      <c r="J27" s="584"/>
    </row>
    <row r="28" spans="2:10" ht="19.5" customHeight="1" x14ac:dyDescent="0.2">
      <c r="B28" s="8"/>
      <c r="C28" s="8"/>
      <c r="D28" s="8"/>
      <c r="E28" s="8"/>
      <c r="F28" s="8"/>
      <c r="G28" s="582"/>
      <c r="H28" s="583"/>
      <c r="I28" s="583"/>
      <c r="J28" s="584"/>
    </row>
    <row r="29" spans="2:10" ht="19.5" customHeight="1" x14ac:dyDescent="0.2">
      <c r="B29" s="8"/>
      <c r="C29" s="8"/>
      <c r="D29" s="8"/>
      <c r="E29" s="8"/>
      <c r="F29" s="8"/>
      <c r="G29" s="582"/>
      <c r="H29" s="583"/>
      <c r="I29" s="583"/>
      <c r="J29" s="584"/>
    </row>
    <row r="30" spans="2:10" ht="19.5" customHeight="1" x14ac:dyDescent="0.2">
      <c r="B30" s="8"/>
      <c r="C30" s="8"/>
      <c r="D30" s="8"/>
      <c r="E30" s="8"/>
      <c r="F30" s="8"/>
      <c r="G30" s="585"/>
      <c r="H30" s="586"/>
      <c r="I30" s="586"/>
      <c r="J30" s="587"/>
    </row>
    <row r="31" spans="2:10" ht="19.5" customHeight="1" x14ac:dyDescent="0.2"/>
    <row r="32" spans="2:10" ht="19.5" customHeight="1" x14ac:dyDescent="0.2">
      <c r="H32" s="588" t="s">
        <v>172</v>
      </c>
      <c r="I32" s="589"/>
      <c r="J32" s="589"/>
    </row>
  </sheetData>
  <sheetProtection sheet="1" formatCells="0" formatColumns="0" formatRows="0" insertColumns="0" insertRows="0" insertHyperlinks="0" deleteColumns="0" deleteRows="0" pivotTables="0"/>
  <mergeCells count="20">
    <mergeCell ref="H32:J32"/>
    <mergeCell ref="B7:C7"/>
    <mergeCell ref="D7:J7"/>
    <mergeCell ref="B9:J9"/>
    <mergeCell ref="B20:E20"/>
    <mergeCell ref="G20:J20"/>
    <mergeCell ref="G22:J30"/>
    <mergeCell ref="B5:C5"/>
    <mergeCell ref="D5:E5"/>
    <mergeCell ref="F5:G5"/>
    <mergeCell ref="H5:J5"/>
    <mergeCell ref="B6:C6"/>
    <mergeCell ref="D6:E6"/>
    <mergeCell ref="F6:G6"/>
    <mergeCell ref="B2:D2"/>
    <mergeCell ref="E2:J2"/>
    <mergeCell ref="B4:C4"/>
    <mergeCell ref="D4:E4"/>
    <mergeCell ref="F4:G4"/>
    <mergeCell ref="H4:J4"/>
  </mergeCells>
  <pageMargins left="0.7" right="0.7" top="0.75" bottom="0.75" header="0" footer="0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789DA-1692-4A26-A413-026684010DEC}">
  <sheetPr>
    <tabColor theme="9" tint="-0.499984740745262"/>
    <pageSetUpPr fitToPage="1"/>
  </sheetPr>
  <dimension ref="B2:J32"/>
  <sheetViews>
    <sheetView showGridLines="0" topLeftCell="A15" zoomScale="124" zoomScaleNormal="124" workbookViewId="0">
      <selection activeCell="G22" sqref="G22:J30"/>
    </sheetView>
  </sheetViews>
  <sheetFormatPr defaultColWidth="12.5703125" defaultRowHeight="15.75" customHeight="1" x14ac:dyDescent="0.2"/>
  <cols>
    <col min="1" max="1" width="3.42578125" customWidth="1"/>
    <col min="2" max="2" width="14.140625" customWidth="1"/>
    <col min="3" max="3" width="12.5703125" customWidth="1"/>
    <col min="4" max="4" width="17.28515625" bestFit="1" customWidth="1"/>
    <col min="5" max="9" width="12.5703125" customWidth="1"/>
    <col min="10" max="10" width="36.28515625" customWidth="1"/>
    <col min="11" max="11" width="8.85546875" customWidth="1"/>
    <col min="12" max="21" width="7.5703125" customWidth="1"/>
  </cols>
  <sheetData>
    <row r="2" spans="2:10" ht="55.5" customHeight="1" x14ac:dyDescent="0.2">
      <c r="B2" s="670"/>
      <c r="C2" s="671"/>
      <c r="D2" s="672"/>
      <c r="E2" s="673" t="s">
        <v>213</v>
      </c>
      <c r="F2" s="671"/>
      <c r="G2" s="671"/>
      <c r="H2" s="671"/>
      <c r="I2" s="671"/>
      <c r="J2" s="672"/>
    </row>
    <row r="3" spans="2:10" ht="22.5" customHeight="1" x14ac:dyDescent="0.2">
      <c r="B3" s="46"/>
      <c r="C3" s="46"/>
      <c r="D3" s="47"/>
      <c r="E3" s="47"/>
      <c r="F3" s="47"/>
      <c r="G3" s="47"/>
      <c r="H3" s="47"/>
      <c r="I3" s="47"/>
    </row>
    <row r="4" spans="2:10" ht="42" customHeight="1" x14ac:dyDescent="0.2">
      <c r="B4" s="594" t="s">
        <v>214</v>
      </c>
      <c r="C4" s="596"/>
      <c r="D4" s="674" t="str">
        <f>Índex!B49</f>
        <v>PC3.05_Ind02.</v>
      </c>
      <c r="E4" s="672"/>
      <c r="F4" s="594" t="s">
        <v>215</v>
      </c>
      <c r="G4" s="596"/>
      <c r="H4" s="674" t="str">
        <f>Índex!C49</f>
        <v>Número d'activitats realitzades pel Consell d'Estudiants (Pla Estratègic 2022/2023 a 2024/2025)</v>
      </c>
      <c r="I4" s="671"/>
      <c r="J4" s="672"/>
    </row>
    <row r="5" spans="2:10" ht="22.5" customHeight="1" x14ac:dyDescent="0.2">
      <c r="B5" s="594" t="s">
        <v>216</v>
      </c>
      <c r="C5" s="596"/>
      <c r="D5" s="674">
        <f>Índex!F49</f>
        <v>1</v>
      </c>
      <c r="E5" s="672"/>
      <c r="F5" s="732" t="s">
        <v>217</v>
      </c>
      <c r="G5" s="596"/>
      <c r="H5" s="840" t="s">
        <v>236</v>
      </c>
      <c r="I5" s="635"/>
      <c r="J5" s="636"/>
    </row>
    <row r="6" spans="2:10" ht="22.5" customHeight="1" x14ac:dyDescent="0.2">
      <c r="B6" s="594" t="s">
        <v>219</v>
      </c>
      <c r="C6" s="596"/>
      <c r="D6" s="674" t="s">
        <v>220</v>
      </c>
      <c r="E6" s="672"/>
      <c r="F6" s="594" t="s">
        <v>242</v>
      </c>
      <c r="G6" s="596"/>
      <c r="H6" s="116" t="str">
        <f>Índex!E49</f>
        <v xml:space="preserve">Secretària de Deganat </v>
      </c>
      <c r="I6" s="40"/>
      <c r="J6" s="19"/>
    </row>
    <row r="7" spans="2:10" ht="22.5" customHeight="1" x14ac:dyDescent="0.2">
      <c r="B7" s="594" t="s">
        <v>222</v>
      </c>
      <c r="C7" s="596"/>
      <c r="D7" s="674" t="str">
        <f>Índex!G49</f>
        <v>PC3.05. Activitats de Promoció i Difusió</v>
      </c>
      <c r="E7" s="671"/>
      <c r="F7" s="671"/>
      <c r="G7" s="671"/>
      <c r="H7" s="671"/>
      <c r="I7" s="671"/>
      <c r="J7" s="672"/>
    </row>
    <row r="8" spans="2:10" ht="7.5" customHeight="1" x14ac:dyDescent="0.2"/>
    <row r="9" spans="2:10" ht="22.5" customHeight="1" x14ac:dyDescent="0.2">
      <c r="B9" s="594" t="s">
        <v>223</v>
      </c>
      <c r="C9" s="595"/>
      <c r="D9" s="595"/>
      <c r="E9" s="595"/>
      <c r="F9" s="595"/>
      <c r="G9" s="595"/>
      <c r="H9" s="595"/>
      <c r="I9" s="595"/>
      <c r="J9" s="596"/>
    </row>
    <row r="10" spans="2:10" ht="22.5" customHeight="1" x14ac:dyDescent="0.2">
      <c r="B10" s="14"/>
      <c r="C10" s="13"/>
      <c r="D10" s="13"/>
      <c r="E10" s="13"/>
      <c r="F10" s="13"/>
      <c r="G10" s="13"/>
      <c r="H10" s="13"/>
      <c r="I10" s="13"/>
      <c r="J10" s="13"/>
    </row>
    <row r="11" spans="2:10" ht="22.5" customHeight="1" x14ac:dyDescent="0.2">
      <c r="C11" s="103" t="s">
        <v>225</v>
      </c>
      <c r="D11" s="103" t="s">
        <v>226</v>
      </c>
      <c r="E11" s="103" t="s">
        <v>227</v>
      </c>
      <c r="F11" s="103" t="s">
        <v>228</v>
      </c>
      <c r="G11" s="103" t="s">
        <v>229</v>
      </c>
      <c r="H11" s="103" t="s">
        <v>287</v>
      </c>
      <c r="I11" s="13"/>
      <c r="J11" s="13"/>
    </row>
    <row r="12" spans="2:10" ht="22.5" customHeight="1" x14ac:dyDescent="0.2">
      <c r="B12" s="126" t="s">
        <v>519</v>
      </c>
      <c r="C12" s="226" t="s">
        <v>237</v>
      </c>
      <c r="D12" s="226" t="s">
        <v>237</v>
      </c>
      <c r="E12" s="226" t="s">
        <v>237</v>
      </c>
      <c r="F12" s="226">
        <v>0</v>
      </c>
      <c r="G12" s="226">
        <v>2</v>
      </c>
      <c r="H12" s="12">
        <v>2</v>
      </c>
      <c r="I12" s="13"/>
      <c r="J12" s="13"/>
    </row>
    <row r="13" spans="2:10" ht="22.5" customHeight="1" x14ac:dyDescent="0.2">
      <c r="B13" s="227" t="s">
        <v>518</v>
      </c>
      <c r="C13" s="12">
        <v>1</v>
      </c>
      <c r="D13" s="12">
        <v>1</v>
      </c>
      <c r="E13" s="12">
        <v>1</v>
      </c>
      <c r="F13" s="12">
        <v>1</v>
      </c>
      <c r="G13" s="12">
        <v>1</v>
      </c>
      <c r="H13" s="12">
        <v>1</v>
      </c>
      <c r="I13" s="13"/>
      <c r="J13" s="13"/>
    </row>
    <row r="14" spans="2:10" ht="22.5" customHeight="1" x14ac:dyDescent="0.2">
      <c r="B14" s="227" t="s">
        <v>240</v>
      </c>
      <c r="C14" s="228" t="s">
        <v>520</v>
      </c>
      <c r="D14" s="228" t="s">
        <v>237</v>
      </c>
      <c r="E14" s="228">
        <f t="shared" ref="E14" si="0">F12/F13</f>
        <v>0</v>
      </c>
      <c r="F14" s="228">
        <f>F12/F13</f>
        <v>0</v>
      </c>
      <c r="G14" s="228">
        <f>G12/G13</f>
        <v>2</v>
      </c>
      <c r="H14" s="228">
        <f>H12/H13</f>
        <v>2</v>
      </c>
      <c r="I14" s="13"/>
      <c r="J14" s="13"/>
    </row>
    <row r="20" spans="2:10" ht="22.5" customHeight="1" x14ac:dyDescent="0.2">
      <c r="B20" s="594" t="s">
        <v>233</v>
      </c>
      <c r="C20" s="595"/>
      <c r="D20" s="595"/>
      <c r="E20" s="596"/>
      <c r="F20" s="21"/>
      <c r="G20" s="682" t="s">
        <v>234</v>
      </c>
      <c r="H20" s="595"/>
      <c r="I20" s="595"/>
      <c r="J20" s="596"/>
    </row>
    <row r="21" spans="2:10" ht="22.5" customHeight="1" x14ac:dyDescent="0.2">
      <c r="B21" s="8"/>
      <c r="C21" s="8"/>
      <c r="D21" s="8"/>
      <c r="E21" s="8"/>
      <c r="F21" s="8"/>
      <c r="G21" s="9"/>
      <c r="H21" s="9"/>
      <c r="I21" s="9"/>
      <c r="J21" s="9"/>
    </row>
    <row r="22" spans="2:10" ht="6" customHeight="1" x14ac:dyDescent="0.2">
      <c r="B22" s="8"/>
      <c r="C22" s="8"/>
      <c r="D22" s="8"/>
      <c r="E22" s="8"/>
      <c r="F22" s="8"/>
      <c r="G22" s="634" t="s">
        <v>521</v>
      </c>
      <c r="H22" s="580"/>
      <c r="I22" s="580"/>
      <c r="J22" s="581"/>
    </row>
    <row r="23" spans="2:10" ht="19.5" customHeight="1" x14ac:dyDescent="0.2">
      <c r="B23" s="8"/>
      <c r="C23" s="8"/>
      <c r="D23" s="8"/>
      <c r="E23" s="8"/>
      <c r="F23" s="8"/>
      <c r="G23" s="582"/>
      <c r="H23" s="583"/>
      <c r="I23" s="583"/>
      <c r="J23" s="584"/>
    </row>
    <row r="24" spans="2:10" ht="19.5" customHeight="1" x14ac:dyDescent="0.2">
      <c r="B24" s="8"/>
      <c r="C24" s="8"/>
      <c r="D24" s="8"/>
      <c r="E24" s="8"/>
      <c r="F24" s="8"/>
      <c r="G24" s="582"/>
      <c r="H24" s="583"/>
      <c r="I24" s="583"/>
      <c r="J24" s="584"/>
    </row>
    <row r="25" spans="2:10" ht="19.5" customHeight="1" x14ac:dyDescent="0.2">
      <c r="B25" s="8"/>
      <c r="C25" s="8"/>
      <c r="D25" s="8"/>
      <c r="E25" s="8"/>
      <c r="F25" s="8"/>
      <c r="G25" s="582"/>
      <c r="H25" s="583"/>
      <c r="I25" s="583"/>
      <c r="J25" s="584"/>
    </row>
    <row r="26" spans="2:10" ht="19.5" customHeight="1" x14ac:dyDescent="0.2">
      <c r="B26" s="8"/>
      <c r="C26" s="8"/>
      <c r="D26" s="8"/>
      <c r="E26" s="8"/>
      <c r="F26" s="8"/>
      <c r="G26" s="582"/>
      <c r="H26" s="583"/>
      <c r="I26" s="583"/>
      <c r="J26" s="584"/>
    </row>
    <row r="27" spans="2:10" ht="19.5" customHeight="1" x14ac:dyDescent="0.2">
      <c r="B27" s="8"/>
      <c r="C27" s="8"/>
      <c r="D27" s="8"/>
      <c r="E27" s="8"/>
      <c r="F27" s="8"/>
      <c r="G27" s="582"/>
      <c r="H27" s="583"/>
      <c r="I27" s="583"/>
      <c r="J27" s="584"/>
    </row>
    <row r="28" spans="2:10" ht="19.5" customHeight="1" x14ac:dyDescent="0.2">
      <c r="B28" s="8"/>
      <c r="C28" s="8"/>
      <c r="D28" s="8"/>
      <c r="E28" s="8"/>
      <c r="F28" s="8"/>
      <c r="G28" s="582"/>
      <c r="H28" s="583"/>
      <c r="I28" s="583"/>
      <c r="J28" s="584"/>
    </row>
    <row r="29" spans="2:10" ht="19.5" customHeight="1" x14ac:dyDescent="0.2">
      <c r="B29" s="8"/>
      <c r="C29" s="8"/>
      <c r="D29" s="8"/>
      <c r="E29" s="8"/>
      <c r="F29" s="8"/>
      <c r="G29" s="582"/>
      <c r="H29" s="583"/>
      <c r="I29" s="583"/>
      <c r="J29" s="584"/>
    </row>
    <row r="30" spans="2:10" ht="19.5" customHeight="1" x14ac:dyDescent="0.2">
      <c r="B30" s="8"/>
      <c r="C30" s="8"/>
      <c r="D30" s="8"/>
      <c r="E30" s="8"/>
      <c r="F30" s="8"/>
      <c r="G30" s="585"/>
      <c r="H30" s="586"/>
      <c r="I30" s="586"/>
      <c r="J30" s="587"/>
    </row>
    <row r="31" spans="2:10" ht="19.5" customHeight="1" x14ac:dyDescent="0.2"/>
    <row r="32" spans="2:10" ht="19.5" customHeight="1" x14ac:dyDescent="0.2">
      <c r="H32" s="588" t="s">
        <v>172</v>
      </c>
      <c r="I32" s="589"/>
      <c r="J32" s="589"/>
    </row>
  </sheetData>
  <sheetProtection algorithmName="SHA-512" hashValue="SSd7dQBnTVCgGdwhhd6wFSyPrCupV3LXcevAUzAyCqH0sCVIVcElMN3uqVsV2a9hwCDCBQa5KKOfd2t5yTMWVA==" saltValue="Al9zshN9TpuSp8Vovv5oGw==" spinCount="100000" sheet="1" formatCells="0" formatColumns="0" formatRows="0" insertColumns="0" insertRows="0" insertHyperlinks="0" deleteColumns="0" deleteRows="0" pivotTables="0"/>
  <mergeCells count="20">
    <mergeCell ref="B2:D2"/>
    <mergeCell ref="E2:J2"/>
    <mergeCell ref="B4:C4"/>
    <mergeCell ref="D4:E4"/>
    <mergeCell ref="F4:G4"/>
    <mergeCell ref="H4:J4"/>
    <mergeCell ref="B5:C5"/>
    <mergeCell ref="D5:E5"/>
    <mergeCell ref="F5:G5"/>
    <mergeCell ref="H5:J5"/>
    <mergeCell ref="B6:C6"/>
    <mergeCell ref="D6:E6"/>
    <mergeCell ref="F6:G6"/>
    <mergeCell ref="B9:J9"/>
    <mergeCell ref="G20:J20"/>
    <mergeCell ref="G22:J30"/>
    <mergeCell ref="H32:J32"/>
    <mergeCell ref="B7:C7"/>
    <mergeCell ref="D7:J7"/>
    <mergeCell ref="B20:E20"/>
  </mergeCells>
  <pageMargins left="0.7" right="0.7" top="0.75" bottom="0.75" header="0" footer="0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1CB73-C367-484A-B830-609D142E1B50}">
  <sheetPr>
    <tabColor theme="9" tint="-0.499984740745262"/>
    <pageSetUpPr fitToPage="1"/>
  </sheetPr>
  <dimension ref="B2:N48"/>
  <sheetViews>
    <sheetView showGridLines="0" topLeftCell="A36" workbookViewId="0">
      <selection activeCell="J37" sqref="J37"/>
    </sheetView>
  </sheetViews>
  <sheetFormatPr defaultColWidth="12.5703125" defaultRowHeight="15.75" customHeight="1" x14ac:dyDescent="0.2"/>
  <cols>
    <col min="1" max="1" width="3.42578125" customWidth="1"/>
    <col min="2" max="2" width="14.140625" customWidth="1"/>
    <col min="3" max="3" width="12.5703125" customWidth="1"/>
    <col min="4" max="4" width="17.28515625" bestFit="1" customWidth="1"/>
    <col min="5" max="9" width="12.5703125" customWidth="1"/>
    <col min="10" max="10" width="36.28515625" customWidth="1"/>
    <col min="11" max="20" width="7.5703125" customWidth="1"/>
  </cols>
  <sheetData>
    <row r="2" spans="2:10" ht="55.5" customHeight="1" x14ac:dyDescent="0.2">
      <c r="B2" s="670"/>
      <c r="C2" s="671"/>
      <c r="D2" s="672"/>
      <c r="E2" s="673" t="s">
        <v>213</v>
      </c>
      <c r="F2" s="671"/>
      <c r="G2" s="671"/>
      <c r="H2" s="671"/>
      <c r="I2" s="671"/>
      <c r="J2" s="672"/>
    </row>
    <row r="3" spans="2:10" ht="22.5" customHeight="1" x14ac:dyDescent="0.2">
      <c r="B3" s="46"/>
      <c r="C3" s="46"/>
      <c r="D3" s="47"/>
      <c r="E3" s="47"/>
      <c r="F3" s="47"/>
      <c r="G3" s="47"/>
      <c r="H3" s="47"/>
      <c r="I3" s="47"/>
    </row>
    <row r="4" spans="2:10" ht="42" customHeight="1" x14ac:dyDescent="0.2">
      <c r="B4" s="594" t="s">
        <v>214</v>
      </c>
      <c r="C4" s="596"/>
      <c r="D4" s="674" t="str">
        <f>Índex!B50</f>
        <v xml:space="preserve">PS4.01_Ind01. </v>
      </c>
      <c r="E4" s="672"/>
      <c r="F4" s="594" t="s">
        <v>215</v>
      </c>
      <c r="G4" s="596"/>
      <c r="H4" s="674" t="str">
        <f>Índex!C50</f>
        <v>Taxa de matrícula respecte a les places ofertades per curs acadèmic i titulació (1er curs)</v>
      </c>
      <c r="I4" s="671"/>
      <c r="J4" s="672"/>
    </row>
    <row r="5" spans="2:10" ht="22.5" customHeight="1" x14ac:dyDescent="0.2">
      <c r="B5" s="594" t="s">
        <v>216</v>
      </c>
      <c r="C5" s="596"/>
      <c r="D5" s="789">
        <f>Índex!F50</f>
        <v>1</v>
      </c>
      <c r="E5" s="790"/>
      <c r="F5" s="732" t="s">
        <v>217</v>
      </c>
      <c r="G5" s="596"/>
      <c r="H5" s="775" t="s">
        <v>241</v>
      </c>
      <c r="I5" s="671"/>
      <c r="J5" s="636"/>
    </row>
    <row r="6" spans="2:10" ht="22.5" customHeight="1" x14ac:dyDescent="0.2">
      <c r="B6" s="594" t="s">
        <v>219</v>
      </c>
      <c r="C6" s="596"/>
      <c r="D6" s="674" t="s">
        <v>220</v>
      </c>
      <c r="E6" s="672"/>
      <c r="F6" s="594" t="s">
        <v>242</v>
      </c>
      <c r="G6" s="596"/>
      <c r="H6" s="12" t="str">
        <f>Índex!E50</f>
        <v xml:space="preserve">Gestor Acadèmic </v>
      </c>
      <c r="J6" s="108"/>
    </row>
    <row r="7" spans="2:10" ht="22.5" customHeight="1" x14ac:dyDescent="0.2">
      <c r="B7" s="594" t="s">
        <v>222</v>
      </c>
      <c r="C7" s="596"/>
      <c r="D7" s="674" t="str">
        <f>Índex!G50</f>
        <v>PS4.01. Organització Acadèmica</v>
      </c>
      <c r="E7" s="671"/>
      <c r="F7" s="671"/>
      <c r="G7" s="671"/>
      <c r="H7" s="671"/>
      <c r="I7" s="671"/>
      <c r="J7" s="672"/>
    </row>
    <row r="8" spans="2:10" ht="7.5" customHeight="1" x14ac:dyDescent="0.2"/>
    <row r="9" spans="2:10" ht="22.5" customHeight="1" x14ac:dyDescent="0.2">
      <c r="B9" s="594" t="s">
        <v>223</v>
      </c>
      <c r="C9" s="595"/>
      <c r="D9" s="595"/>
      <c r="E9" s="595"/>
      <c r="F9" s="595"/>
      <c r="G9" s="595"/>
      <c r="H9" s="595"/>
      <c r="I9" s="595"/>
      <c r="J9" s="596"/>
    </row>
    <row r="10" spans="2:10" ht="22.5" customHeight="1" x14ac:dyDescent="0.2">
      <c r="B10" s="14"/>
      <c r="C10" s="13"/>
      <c r="D10" s="13"/>
      <c r="E10" s="13"/>
      <c r="F10" s="13"/>
      <c r="G10" s="13"/>
      <c r="H10" s="13"/>
      <c r="I10" s="13"/>
      <c r="J10" s="13"/>
    </row>
    <row r="11" spans="2:10" ht="22.5" customHeight="1" x14ac:dyDescent="0.2"/>
    <row r="12" spans="2:10" ht="22.5" customHeight="1" x14ac:dyDescent="0.2">
      <c r="B12" s="16"/>
      <c r="C12" s="16"/>
      <c r="D12" s="94" t="s">
        <v>224</v>
      </c>
      <c r="E12" s="94" t="s">
        <v>225</v>
      </c>
      <c r="F12" s="94" t="s">
        <v>226</v>
      </c>
      <c r="G12" s="94" t="s">
        <v>227</v>
      </c>
      <c r="H12" s="94" t="s">
        <v>228</v>
      </c>
      <c r="I12" s="94" t="s">
        <v>229</v>
      </c>
    </row>
    <row r="13" spans="2:10" ht="41.25" customHeight="1" thickBot="1" x14ac:dyDescent="0.25">
      <c r="B13" s="695" t="s">
        <v>244</v>
      </c>
      <c r="C13" s="751"/>
      <c r="D13" s="64">
        <v>1.17</v>
      </c>
      <c r="E13" s="64">
        <v>1.1200000000000001</v>
      </c>
      <c r="F13" s="64">
        <v>1.18</v>
      </c>
      <c r="G13" s="64">
        <v>1.1200000000000001</v>
      </c>
      <c r="H13" s="64">
        <v>1.05</v>
      </c>
      <c r="I13" s="473">
        <v>1</v>
      </c>
    </row>
    <row r="14" spans="2:10" ht="41.25" customHeight="1" x14ac:dyDescent="0.2">
      <c r="B14" s="695" t="s">
        <v>343</v>
      </c>
      <c r="C14" s="751"/>
      <c r="D14" s="64">
        <v>0.87</v>
      </c>
      <c r="E14" s="64">
        <v>1.07</v>
      </c>
      <c r="F14" s="64">
        <v>1.1000000000000001</v>
      </c>
      <c r="G14" s="64">
        <v>1.17</v>
      </c>
      <c r="H14" s="64" t="s">
        <v>237</v>
      </c>
      <c r="I14" s="475">
        <v>1</v>
      </c>
    </row>
    <row r="15" spans="2:10" ht="41.25" customHeight="1" x14ac:dyDescent="0.2">
      <c r="B15" s="695" t="s">
        <v>293</v>
      </c>
      <c r="C15" s="751"/>
      <c r="D15" s="64">
        <v>1.05</v>
      </c>
      <c r="E15" s="64">
        <v>1.05</v>
      </c>
      <c r="F15" s="64">
        <v>1.28</v>
      </c>
      <c r="G15" s="64">
        <v>1.25</v>
      </c>
      <c r="H15" s="64">
        <v>1.02</v>
      </c>
      <c r="I15" s="476">
        <v>1.075</v>
      </c>
    </row>
    <row r="16" spans="2:10" ht="41.25" customHeight="1" thickBot="1" x14ac:dyDescent="0.25">
      <c r="B16" s="695" t="s">
        <v>247</v>
      </c>
      <c r="C16" s="751"/>
      <c r="D16" s="64">
        <v>1.01</v>
      </c>
      <c r="E16" s="64">
        <v>1.01</v>
      </c>
      <c r="F16" s="64">
        <v>1.07</v>
      </c>
      <c r="G16" s="64">
        <v>1.1000000000000001</v>
      </c>
      <c r="H16" s="64">
        <v>1.0285</v>
      </c>
      <c r="I16" s="474">
        <v>1.0857000000000001</v>
      </c>
    </row>
    <row r="17" spans="2:9" ht="41.25" customHeight="1" thickBot="1" x14ac:dyDescent="0.25">
      <c r="B17" s="695" t="s">
        <v>336</v>
      </c>
      <c r="C17" s="751"/>
      <c r="D17" s="64">
        <v>1.1499999999999999</v>
      </c>
      <c r="E17" s="64">
        <v>1.1000000000000001</v>
      </c>
      <c r="F17" s="64">
        <v>1.1000000000000001</v>
      </c>
      <c r="G17" s="64">
        <v>1</v>
      </c>
      <c r="H17" s="64" t="s">
        <v>237</v>
      </c>
      <c r="I17" s="473">
        <v>1.1000000000000001</v>
      </c>
    </row>
    <row r="18" spans="2:9" ht="41.25" customHeight="1" thickBot="1" x14ac:dyDescent="0.25">
      <c r="B18" s="695" t="s">
        <v>337</v>
      </c>
      <c r="C18" s="751"/>
      <c r="D18" s="64">
        <v>1.05</v>
      </c>
      <c r="E18" s="64">
        <v>1</v>
      </c>
      <c r="F18" s="64">
        <v>1.1000000000000001</v>
      </c>
      <c r="G18" s="64">
        <v>1.05</v>
      </c>
      <c r="H18" s="64" t="s">
        <v>237</v>
      </c>
      <c r="I18" s="473">
        <v>1.05</v>
      </c>
    </row>
    <row r="19" spans="2:9" ht="41.25" customHeight="1" thickBot="1" x14ac:dyDescent="0.25">
      <c r="B19" s="695" t="s">
        <v>250</v>
      </c>
      <c r="C19" s="751"/>
      <c r="D19" s="64">
        <v>0.78</v>
      </c>
      <c r="E19" s="64">
        <v>0.94</v>
      </c>
      <c r="F19" s="64">
        <v>0.96</v>
      </c>
      <c r="G19" s="64">
        <v>1.04</v>
      </c>
      <c r="H19" s="64">
        <v>0.67500000000000004</v>
      </c>
      <c r="I19" s="414">
        <v>1</v>
      </c>
    </row>
    <row r="20" spans="2:9" ht="41.25" customHeight="1" thickBot="1" x14ac:dyDescent="0.25">
      <c r="B20" s="695" t="s">
        <v>251</v>
      </c>
      <c r="C20" s="751"/>
      <c r="D20" s="44" t="s">
        <v>296</v>
      </c>
      <c r="E20" s="64">
        <v>1.05</v>
      </c>
      <c r="F20" s="64">
        <v>1.25</v>
      </c>
      <c r="G20" s="64">
        <v>1.23</v>
      </c>
      <c r="H20" s="64">
        <v>1.075</v>
      </c>
      <c r="I20" s="473">
        <v>1.05</v>
      </c>
    </row>
    <row r="21" spans="2:9" ht="41.25" customHeight="1" thickBot="1" x14ac:dyDescent="0.25">
      <c r="B21" s="695" t="s">
        <v>252</v>
      </c>
      <c r="C21" s="751"/>
      <c r="D21" s="64">
        <v>0.97</v>
      </c>
      <c r="E21" s="64">
        <v>0.99</v>
      </c>
      <c r="F21" s="64">
        <v>1.03</v>
      </c>
      <c r="G21" s="64">
        <v>1.1499999999999999</v>
      </c>
      <c r="H21" s="64">
        <v>1.133</v>
      </c>
      <c r="I21" s="473">
        <v>1.05</v>
      </c>
    </row>
    <row r="22" spans="2:9" ht="41.25" customHeight="1" thickBot="1" x14ac:dyDescent="0.25">
      <c r="B22" s="695" t="s">
        <v>253</v>
      </c>
      <c r="C22" s="751"/>
      <c r="D22" s="64">
        <v>1.82</v>
      </c>
      <c r="E22" s="64">
        <v>1.06</v>
      </c>
      <c r="F22" s="64">
        <v>1.0900000000000001</v>
      </c>
      <c r="G22" s="64">
        <v>1.1200000000000001</v>
      </c>
      <c r="H22" s="64">
        <v>1</v>
      </c>
      <c r="I22" s="473">
        <v>1</v>
      </c>
    </row>
    <row r="23" spans="2:9" ht="41.25" customHeight="1" x14ac:dyDescent="0.2">
      <c r="B23" s="695" t="s">
        <v>254</v>
      </c>
      <c r="C23" s="751"/>
      <c r="D23" s="64">
        <v>0</v>
      </c>
      <c r="E23" s="64">
        <v>1.03</v>
      </c>
      <c r="F23" s="64">
        <v>1.04</v>
      </c>
      <c r="G23" s="64">
        <v>1.1000000000000001</v>
      </c>
      <c r="H23" s="252">
        <v>0.97499999999999998</v>
      </c>
      <c r="I23" s="252">
        <v>0.99160000000000004</v>
      </c>
    </row>
    <row r="24" spans="2:9" ht="41.25" customHeight="1" x14ac:dyDescent="0.2">
      <c r="B24" s="695" t="s">
        <v>267</v>
      </c>
      <c r="C24" s="695"/>
      <c r="D24" s="64">
        <v>0.88</v>
      </c>
      <c r="E24" s="64">
        <v>1.02</v>
      </c>
      <c r="F24" s="64">
        <v>1.06</v>
      </c>
      <c r="G24" s="64">
        <v>1.1599999999999999</v>
      </c>
      <c r="H24" s="64">
        <v>1.26</v>
      </c>
      <c r="I24" s="64">
        <v>1.1599999999999999</v>
      </c>
    </row>
    <row r="25" spans="2:9" ht="41.25" customHeight="1" thickBot="1" x14ac:dyDescent="0.25">
      <c r="B25" s="695" t="s">
        <v>298</v>
      </c>
      <c r="C25" s="695"/>
      <c r="D25" s="64">
        <v>1.04</v>
      </c>
      <c r="E25" s="64">
        <v>0.8</v>
      </c>
      <c r="F25" s="64">
        <v>0.68</v>
      </c>
      <c r="G25" s="64">
        <v>0.96</v>
      </c>
      <c r="H25" s="64">
        <v>1.24</v>
      </c>
      <c r="I25" s="473">
        <v>1.28</v>
      </c>
    </row>
    <row r="26" spans="2:9" ht="41.25" customHeight="1" x14ac:dyDescent="0.2">
      <c r="B26" s="695" t="s">
        <v>269</v>
      </c>
      <c r="C26" s="695"/>
      <c r="D26" s="54">
        <v>0.84</v>
      </c>
      <c r="E26" s="54">
        <v>0.68</v>
      </c>
      <c r="F26" s="54">
        <v>0.6</v>
      </c>
      <c r="G26" s="251">
        <v>0.44</v>
      </c>
      <c r="H26" s="251">
        <v>0.92</v>
      </c>
      <c r="I26" s="252">
        <v>0.8</v>
      </c>
    </row>
    <row r="27" spans="2:9" ht="41.25" customHeight="1" x14ac:dyDescent="0.2">
      <c r="B27" s="695" t="s">
        <v>270</v>
      </c>
      <c r="C27" s="695"/>
      <c r="D27" s="54">
        <v>1</v>
      </c>
      <c r="E27" s="54">
        <v>0.77</v>
      </c>
      <c r="F27" s="54">
        <v>1.2</v>
      </c>
      <c r="G27" s="54">
        <v>1.2</v>
      </c>
      <c r="H27" s="54">
        <v>1.333</v>
      </c>
      <c r="I27" s="64">
        <v>1.633</v>
      </c>
    </row>
    <row r="28" spans="2:9" ht="41.25" customHeight="1" x14ac:dyDescent="0.2">
      <c r="B28" s="695" t="s">
        <v>283</v>
      </c>
      <c r="C28" s="695"/>
      <c r="D28" s="54">
        <v>0.92</v>
      </c>
      <c r="E28" s="54">
        <v>0.84</v>
      </c>
      <c r="F28" s="54">
        <v>0.88</v>
      </c>
      <c r="G28" s="249">
        <v>0.47</v>
      </c>
      <c r="H28" s="249">
        <v>0.6</v>
      </c>
      <c r="I28" s="252">
        <v>0.52</v>
      </c>
    </row>
    <row r="29" spans="2:9" ht="41.25" customHeight="1" x14ac:dyDescent="0.2">
      <c r="B29" s="695" t="s">
        <v>271</v>
      </c>
      <c r="C29" s="695"/>
      <c r="D29" s="54">
        <v>0.23</v>
      </c>
      <c r="E29" s="54">
        <v>0.17</v>
      </c>
      <c r="F29" s="54">
        <v>0.43</v>
      </c>
      <c r="G29" s="249">
        <v>0.24</v>
      </c>
      <c r="H29" s="249" t="s">
        <v>354</v>
      </c>
      <c r="I29" s="252">
        <v>0.48</v>
      </c>
    </row>
    <row r="30" spans="2:9" ht="41.25" customHeight="1" x14ac:dyDescent="0.2">
      <c r="B30" s="695" t="s">
        <v>515</v>
      </c>
      <c r="C30" s="695"/>
      <c r="D30" s="54">
        <v>1.22</v>
      </c>
      <c r="E30" s="54">
        <v>0.89</v>
      </c>
      <c r="F30" s="54">
        <v>0.96</v>
      </c>
      <c r="G30" s="249">
        <v>0.82</v>
      </c>
      <c r="H30" s="250">
        <v>0.97499999999999998</v>
      </c>
      <c r="I30" s="64">
        <v>1</v>
      </c>
    </row>
    <row r="31" spans="2:9" ht="22.5" customHeight="1" x14ac:dyDescent="0.2">
      <c r="B31" s="836">
        <f>D5</f>
        <v>1</v>
      </c>
      <c r="C31" s="836"/>
      <c r="D31" s="17">
        <f>COUNTIF(D13:D30,"&gt;= 100%")</f>
        <v>9</v>
      </c>
      <c r="E31" s="17">
        <f>COUNTIF(E13:E30,"&gt;= 100%")</f>
        <v>10</v>
      </c>
      <c r="F31" s="17">
        <f>COUNTIF(F13:F30,"&gt;= 100%")</f>
        <v>12</v>
      </c>
      <c r="G31" s="17">
        <f>COUNTIF(G13:G30,"&gt;= 100%")</f>
        <v>13</v>
      </c>
      <c r="H31" s="17">
        <f>COUNTIF(H13:H30,"&gt;=100%")</f>
        <v>9</v>
      </c>
      <c r="I31" s="17">
        <f>COUNTIF(I13:I30,"&gt;=100%")</f>
        <v>14</v>
      </c>
    </row>
    <row r="32" spans="2:9" ht="22.5" customHeight="1" x14ac:dyDescent="0.2">
      <c r="B32" s="689" t="s">
        <v>274</v>
      </c>
      <c r="C32" s="689"/>
      <c r="D32" s="17">
        <f t="shared" ref="D32:I32" si="0">COUNT(D13:D30)</f>
        <v>17</v>
      </c>
      <c r="E32" s="17">
        <f t="shared" si="0"/>
        <v>18</v>
      </c>
      <c r="F32" s="17">
        <f t="shared" si="0"/>
        <v>18</v>
      </c>
      <c r="G32" s="17">
        <f t="shared" si="0"/>
        <v>18</v>
      </c>
      <c r="H32" s="17">
        <f t="shared" si="0"/>
        <v>14</v>
      </c>
      <c r="I32" s="17">
        <f t="shared" si="0"/>
        <v>18</v>
      </c>
    </row>
    <row r="33" spans="2:14" ht="22.5" customHeight="1" x14ac:dyDescent="0.2">
      <c r="B33" s="221" t="s">
        <v>522</v>
      </c>
      <c r="C33" s="221"/>
      <c r="D33" s="253">
        <v>1</v>
      </c>
      <c r="E33" s="253">
        <v>1</v>
      </c>
      <c r="F33" s="253">
        <v>1</v>
      </c>
      <c r="G33" s="253">
        <v>1</v>
      </c>
      <c r="H33" s="253">
        <v>1</v>
      </c>
      <c r="I33" s="253">
        <v>1</v>
      </c>
    </row>
    <row r="34" spans="2:14" ht="22.5" customHeight="1" x14ac:dyDescent="0.2">
      <c r="B34" s="685" t="s">
        <v>232</v>
      </c>
      <c r="C34" s="735"/>
      <c r="D34" s="48">
        <f t="shared" ref="D34:I34" si="1">D31/D32</f>
        <v>0.52941176470588236</v>
      </c>
      <c r="E34" s="48">
        <f t="shared" si="1"/>
        <v>0.55555555555555558</v>
      </c>
      <c r="F34" s="48">
        <f t="shared" si="1"/>
        <v>0.66666666666666663</v>
      </c>
      <c r="G34" s="48">
        <f t="shared" si="1"/>
        <v>0.72222222222222221</v>
      </c>
      <c r="H34" s="48">
        <f t="shared" si="1"/>
        <v>0.6428571428571429</v>
      </c>
      <c r="I34" s="48">
        <f t="shared" si="1"/>
        <v>0.77777777777777779</v>
      </c>
    </row>
    <row r="35" spans="2:14" ht="22.5" customHeight="1" x14ac:dyDescent="0.25">
      <c r="B35" s="7"/>
      <c r="C35" s="7"/>
      <c r="D35" s="6"/>
      <c r="E35" s="6"/>
      <c r="F35" s="6"/>
      <c r="G35" s="6"/>
      <c r="H35" s="6"/>
      <c r="I35" s="6"/>
      <c r="J35" s="6"/>
    </row>
    <row r="36" spans="2:14" ht="22.5" customHeight="1" x14ac:dyDescent="0.2">
      <c r="B36" s="594" t="s">
        <v>233</v>
      </c>
      <c r="C36" s="595"/>
      <c r="D36" s="595"/>
      <c r="E36" s="596"/>
      <c r="F36" s="8"/>
      <c r="G36" s="841"/>
      <c r="H36" s="842"/>
      <c r="I36" s="842"/>
      <c r="J36" s="842"/>
      <c r="K36" s="682" t="s">
        <v>234</v>
      </c>
      <c r="L36" s="595"/>
      <c r="M36" s="595"/>
      <c r="N36" s="596"/>
    </row>
    <row r="37" spans="2:14" ht="22.5" customHeight="1" x14ac:dyDescent="0.2">
      <c r="B37" s="8"/>
      <c r="C37" s="8"/>
      <c r="D37" s="8"/>
      <c r="E37" s="8"/>
      <c r="F37" s="8"/>
      <c r="G37" s="9"/>
      <c r="H37" s="9"/>
      <c r="I37" s="9"/>
      <c r="J37" s="9"/>
      <c r="K37" s="9"/>
      <c r="L37" s="9"/>
      <c r="M37" s="9"/>
      <c r="N37" s="9"/>
    </row>
    <row r="38" spans="2:14" ht="6" customHeight="1" x14ac:dyDescent="0.2">
      <c r="B38" s="8"/>
      <c r="C38" s="8"/>
      <c r="D38" s="8"/>
      <c r="E38" s="8"/>
      <c r="F38" s="8"/>
      <c r="G38" s="712"/>
      <c r="H38" s="684"/>
      <c r="I38" s="684"/>
      <c r="J38" s="684"/>
      <c r="K38" s="683" t="s">
        <v>409</v>
      </c>
      <c r="L38" s="580"/>
      <c r="M38" s="580"/>
      <c r="N38" s="581"/>
    </row>
    <row r="39" spans="2:14" ht="19.5" customHeight="1" x14ac:dyDescent="0.2">
      <c r="B39" s="8"/>
      <c r="C39" s="8"/>
      <c r="D39" s="8"/>
      <c r="E39" s="8"/>
      <c r="F39" s="8"/>
      <c r="G39" s="684"/>
      <c r="H39" s="583"/>
      <c r="I39" s="583"/>
      <c r="J39" s="684"/>
      <c r="K39" s="684"/>
      <c r="L39" s="583"/>
      <c r="M39" s="583"/>
      <c r="N39" s="584"/>
    </row>
    <row r="40" spans="2:14" ht="19.5" customHeight="1" x14ac:dyDescent="0.2">
      <c r="B40" s="8"/>
      <c r="C40" s="8"/>
      <c r="D40" s="8"/>
      <c r="E40" s="8"/>
      <c r="F40" s="8"/>
      <c r="G40" s="684"/>
      <c r="H40" s="583"/>
      <c r="I40" s="583"/>
      <c r="J40" s="684"/>
      <c r="K40" s="684"/>
      <c r="L40" s="583"/>
      <c r="M40" s="583"/>
      <c r="N40" s="584"/>
    </row>
    <row r="41" spans="2:14" ht="19.5" customHeight="1" x14ac:dyDescent="0.2">
      <c r="B41" s="8"/>
      <c r="C41" s="8"/>
      <c r="D41" s="8"/>
      <c r="E41" s="8"/>
      <c r="F41" s="8"/>
      <c r="G41" s="684"/>
      <c r="H41" s="583"/>
      <c r="I41" s="583"/>
      <c r="J41" s="684"/>
      <c r="K41" s="684"/>
      <c r="L41" s="583"/>
      <c r="M41" s="583"/>
      <c r="N41" s="584"/>
    </row>
    <row r="42" spans="2:14" ht="19.5" customHeight="1" x14ac:dyDescent="0.2">
      <c r="B42" s="8"/>
      <c r="C42" s="8"/>
      <c r="D42" s="8"/>
      <c r="E42" s="8"/>
      <c r="F42" s="8"/>
      <c r="G42" s="684"/>
      <c r="H42" s="583"/>
      <c r="I42" s="583"/>
      <c r="J42" s="684"/>
      <c r="K42" s="684"/>
      <c r="L42" s="583"/>
      <c r="M42" s="583"/>
      <c r="N42" s="584"/>
    </row>
    <row r="43" spans="2:14" ht="19.5" customHeight="1" x14ac:dyDescent="0.2">
      <c r="B43" s="8"/>
      <c r="C43" s="8"/>
      <c r="D43" s="8"/>
      <c r="E43" s="8"/>
      <c r="F43" s="8"/>
      <c r="G43" s="684"/>
      <c r="H43" s="583"/>
      <c r="I43" s="583"/>
      <c r="J43" s="684"/>
      <c r="K43" s="684"/>
      <c r="L43" s="583"/>
      <c r="M43" s="583"/>
      <c r="N43" s="584"/>
    </row>
    <row r="44" spans="2:14" ht="19.5" customHeight="1" x14ac:dyDescent="0.2">
      <c r="B44" s="8"/>
      <c r="C44" s="8"/>
      <c r="D44" s="8"/>
      <c r="E44" s="8"/>
      <c r="F44" s="8"/>
      <c r="G44" s="684"/>
      <c r="H44" s="583"/>
      <c r="I44" s="583"/>
      <c r="J44" s="684"/>
      <c r="K44" s="684"/>
      <c r="L44" s="583"/>
      <c r="M44" s="583"/>
      <c r="N44" s="584"/>
    </row>
    <row r="45" spans="2:14" ht="19.5" customHeight="1" x14ac:dyDescent="0.2">
      <c r="B45" s="8"/>
      <c r="C45" s="8"/>
      <c r="D45" s="8"/>
      <c r="E45" s="8"/>
      <c r="F45" s="8"/>
      <c r="G45" s="684"/>
      <c r="H45" s="583"/>
      <c r="I45" s="583"/>
      <c r="J45" s="684"/>
      <c r="K45" s="684"/>
      <c r="L45" s="583"/>
      <c r="M45" s="583"/>
      <c r="N45" s="584"/>
    </row>
    <row r="46" spans="2:14" ht="19.5" customHeight="1" x14ac:dyDescent="0.2">
      <c r="B46" s="8"/>
      <c r="C46" s="8"/>
      <c r="D46" s="8"/>
      <c r="E46" s="8"/>
      <c r="F46" s="8"/>
      <c r="G46" s="684"/>
      <c r="H46" s="684"/>
      <c r="I46" s="684"/>
      <c r="J46" s="684"/>
      <c r="K46" s="586"/>
      <c r="L46" s="586"/>
      <c r="M46" s="586"/>
      <c r="N46" s="587"/>
    </row>
    <row r="47" spans="2:14" ht="19.5" customHeight="1" x14ac:dyDescent="0.2"/>
    <row r="48" spans="2:14" ht="19.5" customHeight="1" x14ac:dyDescent="0.2">
      <c r="H48" s="588" t="s">
        <v>172</v>
      </c>
      <c r="I48" s="589"/>
      <c r="J48" s="589"/>
    </row>
  </sheetData>
  <sheetProtection sheet="1" formatCells="0" formatColumns="0" formatRows="0" insertColumns="0" insertRows="0" insertHyperlinks="0" deleteColumns="0" deleteRows="0" pivotTables="0"/>
  <mergeCells count="43">
    <mergeCell ref="K36:N36"/>
    <mergeCell ref="K38:N46"/>
    <mergeCell ref="G36:J36"/>
    <mergeCell ref="G38:J46"/>
    <mergeCell ref="H48:J48"/>
    <mergeCell ref="B30:C30"/>
    <mergeCell ref="B31:C31"/>
    <mergeCell ref="B32:C32"/>
    <mergeCell ref="B34:C34"/>
    <mergeCell ref="B36:E36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17:C17"/>
    <mergeCell ref="B7:C7"/>
    <mergeCell ref="D7:J7"/>
    <mergeCell ref="B9:J9"/>
    <mergeCell ref="B13:C13"/>
    <mergeCell ref="B14:C14"/>
    <mergeCell ref="B15:C15"/>
    <mergeCell ref="B16:C16"/>
    <mergeCell ref="B5:C5"/>
    <mergeCell ref="D5:E5"/>
    <mergeCell ref="F5:G5"/>
    <mergeCell ref="H5:J5"/>
    <mergeCell ref="B6:C6"/>
    <mergeCell ref="D6:E6"/>
    <mergeCell ref="F6:G6"/>
    <mergeCell ref="B2:D2"/>
    <mergeCell ref="E2:J2"/>
    <mergeCell ref="B4:C4"/>
    <mergeCell ref="D4:E4"/>
    <mergeCell ref="F4:G4"/>
    <mergeCell ref="H4:J4"/>
  </mergeCells>
  <conditionalFormatting sqref="D13:H30">
    <cfRule type="cellIs" dxfId="28" priority="4" operator="between">
      <formula>0</formula>
      <formula>0.9</formula>
    </cfRule>
  </conditionalFormatting>
  <conditionalFormatting sqref="I23:I24">
    <cfRule type="cellIs" dxfId="27" priority="3" operator="between">
      <formula>0</formula>
      <formula>0.9</formula>
    </cfRule>
  </conditionalFormatting>
  <conditionalFormatting sqref="I26:I30">
    <cfRule type="cellIs" dxfId="26" priority="1" operator="between">
      <formula>0</formula>
      <formula>0.9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4F6E0-34AE-43E3-8EB8-A3AC3D92BCD3}">
  <sheetPr>
    <tabColor theme="9" tint="-0.499984740745262"/>
    <pageSetUpPr fitToPage="1"/>
  </sheetPr>
  <dimension ref="B2:N41"/>
  <sheetViews>
    <sheetView showGridLines="0" topLeftCell="A22" workbookViewId="0">
      <selection activeCell="G26" sqref="G26"/>
    </sheetView>
  </sheetViews>
  <sheetFormatPr defaultColWidth="12.5703125" defaultRowHeight="15.75" customHeight="1" x14ac:dyDescent="0.2"/>
  <cols>
    <col min="1" max="1" width="3.42578125" customWidth="1"/>
    <col min="2" max="2" width="14.140625" customWidth="1"/>
    <col min="3" max="3" width="12.5703125" customWidth="1"/>
    <col min="4" max="4" width="17.28515625" bestFit="1" customWidth="1"/>
    <col min="5" max="9" width="12.5703125" customWidth="1"/>
    <col min="10" max="10" width="36.28515625" customWidth="1"/>
    <col min="11" max="20" width="7.5703125" customWidth="1"/>
  </cols>
  <sheetData>
    <row r="2" spans="2:10" ht="55.5" customHeight="1" x14ac:dyDescent="0.2">
      <c r="B2" s="670"/>
      <c r="C2" s="671"/>
      <c r="D2" s="672"/>
      <c r="E2" s="673" t="s">
        <v>213</v>
      </c>
      <c r="F2" s="671"/>
      <c r="G2" s="671"/>
      <c r="H2" s="671"/>
      <c r="I2" s="671"/>
      <c r="J2" s="672"/>
    </row>
    <row r="3" spans="2:10" ht="22.5" customHeight="1" x14ac:dyDescent="0.2">
      <c r="B3" s="46"/>
      <c r="C3" s="46"/>
      <c r="D3" s="47"/>
      <c r="E3" s="47"/>
      <c r="F3" s="47"/>
      <c r="G3" s="47"/>
      <c r="H3" s="47"/>
      <c r="I3" s="47"/>
    </row>
    <row r="4" spans="2:10" ht="42" customHeight="1" x14ac:dyDescent="0.2">
      <c r="B4" s="594" t="s">
        <v>214</v>
      </c>
      <c r="C4" s="596"/>
      <c r="D4" s="674" t="str">
        <f>Índex!B51</f>
        <v xml:space="preserve">PS4.01_Ind02. </v>
      </c>
      <c r="E4" s="672"/>
      <c r="F4" s="594" t="s">
        <v>215</v>
      </c>
      <c r="G4" s="596"/>
      <c r="H4" s="674" t="str">
        <f>Índex!C51</f>
        <v>Valoració mitjana de la pregunta “Els serveis de suport a l’estudiant (informació, matriculació, tràmits acadèmics, beques, orientació, etc.) m’han ofert un bon assessorament i atenció”</v>
      </c>
      <c r="I4" s="671"/>
      <c r="J4" s="672"/>
    </row>
    <row r="5" spans="2:10" ht="22.5" customHeight="1" x14ac:dyDescent="0.2">
      <c r="B5" s="594" t="s">
        <v>323</v>
      </c>
      <c r="C5" s="596"/>
      <c r="D5" s="674" t="str">
        <f>Índex!F51</f>
        <v>≥3</v>
      </c>
      <c r="E5" s="672"/>
      <c r="F5" s="732" t="s">
        <v>217</v>
      </c>
      <c r="G5" s="596"/>
      <c r="H5" s="775" t="s">
        <v>241</v>
      </c>
      <c r="I5" s="671"/>
      <c r="J5" s="636"/>
    </row>
    <row r="6" spans="2:10" ht="22.5" customHeight="1" x14ac:dyDescent="0.2">
      <c r="B6" s="594" t="s">
        <v>219</v>
      </c>
      <c r="C6" s="596"/>
      <c r="D6" s="674" t="s">
        <v>220</v>
      </c>
      <c r="E6" s="672"/>
      <c r="F6" s="594" t="s">
        <v>242</v>
      </c>
      <c r="G6" s="596"/>
      <c r="H6" s="12" t="str">
        <f>Índex!E51</f>
        <v>Gestora de Qualitat</v>
      </c>
      <c r="J6" s="108"/>
    </row>
    <row r="7" spans="2:10" ht="22.5" customHeight="1" x14ac:dyDescent="0.2">
      <c r="B7" s="594" t="s">
        <v>222</v>
      </c>
      <c r="C7" s="596"/>
      <c r="D7" s="674" t="str">
        <f>Índex!G51</f>
        <v>PS4.01. Organització Acadèmica</v>
      </c>
      <c r="E7" s="671"/>
      <c r="F7" s="671"/>
      <c r="G7" s="671"/>
      <c r="H7" s="671"/>
      <c r="I7" s="671"/>
      <c r="J7" s="672"/>
    </row>
    <row r="8" spans="2:10" ht="7.5" customHeight="1" x14ac:dyDescent="0.2"/>
    <row r="9" spans="2:10" ht="22.5" customHeight="1" x14ac:dyDescent="0.2">
      <c r="B9" s="594" t="s">
        <v>223</v>
      </c>
      <c r="C9" s="595"/>
      <c r="D9" s="595"/>
      <c r="E9" s="595"/>
      <c r="F9" s="595"/>
      <c r="G9" s="595"/>
      <c r="H9" s="595"/>
      <c r="I9" s="595"/>
      <c r="J9" s="596"/>
    </row>
    <row r="10" spans="2:10" ht="22.5" customHeight="1" x14ac:dyDescent="0.2">
      <c r="B10" s="14"/>
      <c r="C10" s="13"/>
      <c r="D10" s="13"/>
      <c r="E10" s="13"/>
      <c r="F10" s="13"/>
      <c r="G10" s="13"/>
      <c r="H10" s="13"/>
      <c r="I10" s="13"/>
      <c r="J10" s="13"/>
    </row>
    <row r="11" spans="2:10" ht="22.5" customHeight="1" x14ac:dyDescent="0.2"/>
    <row r="12" spans="2:10" ht="22.5" customHeight="1" thickBot="1" x14ac:dyDescent="0.25">
      <c r="B12" s="16"/>
      <c r="C12" s="16"/>
      <c r="D12" s="110" t="s">
        <v>224</v>
      </c>
      <c r="E12" s="110" t="s">
        <v>225</v>
      </c>
      <c r="F12" s="110" t="s">
        <v>226</v>
      </c>
      <c r="G12" s="110" t="s">
        <v>227</v>
      </c>
      <c r="H12" s="110" t="s">
        <v>228</v>
      </c>
      <c r="I12" s="110" t="s">
        <v>229</v>
      </c>
    </row>
    <row r="13" spans="2:10" ht="41.25" customHeight="1" thickBot="1" x14ac:dyDescent="0.25">
      <c r="B13" s="695" t="s">
        <v>244</v>
      </c>
      <c r="C13" s="695"/>
      <c r="D13" s="44">
        <v>3.82</v>
      </c>
      <c r="E13" s="44" t="s">
        <v>237</v>
      </c>
      <c r="F13" s="44">
        <v>3.75</v>
      </c>
      <c r="G13" s="44">
        <v>3.8</v>
      </c>
      <c r="H13" s="207">
        <v>3.76</v>
      </c>
      <c r="I13" s="207" t="s">
        <v>260</v>
      </c>
      <c r="J13" s="126"/>
    </row>
    <row r="14" spans="2:10" ht="41.25" customHeight="1" thickBot="1" x14ac:dyDescent="0.25">
      <c r="B14" s="695" t="s">
        <v>343</v>
      </c>
      <c r="C14" s="695"/>
      <c r="D14" s="44" t="s">
        <v>296</v>
      </c>
      <c r="E14" s="44" t="s">
        <v>237</v>
      </c>
      <c r="F14" s="44">
        <v>3</v>
      </c>
      <c r="G14" s="44">
        <v>2</v>
      </c>
      <c r="H14" s="254">
        <v>2.86</v>
      </c>
      <c r="I14" s="170" t="s">
        <v>260</v>
      </c>
      <c r="J14" s="126"/>
    </row>
    <row r="15" spans="2:10" ht="41.25" customHeight="1" thickBot="1" x14ac:dyDescent="0.25">
      <c r="B15" s="695" t="s">
        <v>293</v>
      </c>
      <c r="C15" s="695"/>
      <c r="D15" s="44" t="s">
        <v>296</v>
      </c>
      <c r="E15" s="44">
        <v>3.8</v>
      </c>
      <c r="F15" s="44">
        <v>3.83</v>
      </c>
      <c r="G15" s="44">
        <v>3</v>
      </c>
      <c r="H15" s="170">
        <v>4.17</v>
      </c>
      <c r="I15" s="170" t="s">
        <v>260</v>
      </c>
      <c r="J15" s="126"/>
    </row>
    <row r="16" spans="2:10" ht="41.25" customHeight="1" thickBot="1" x14ac:dyDescent="0.25">
      <c r="B16" s="695" t="s">
        <v>247</v>
      </c>
      <c r="C16" s="695"/>
      <c r="D16" s="44">
        <v>2.67</v>
      </c>
      <c r="E16" s="44">
        <v>3.19</v>
      </c>
      <c r="F16" s="44">
        <v>3.92</v>
      </c>
      <c r="G16" s="44">
        <v>2.17</v>
      </c>
      <c r="H16" s="170">
        <v>3.52</v>
      </c>
      <c r="I16" s="170" t="s">
        <v>260</v>
      </c>
      <c r="J16" s="126"/>
    </row>
    <row r="17" spans="2:14" ht="41.25" customHeight="1" thickBot="1" x14ac:dyDescent="0.25">
      <c r="B17" s="695" t="s">
        <v>336</v>
      </c>
      <c r="C17" s="695"/>
      <c r="D17" s="44" t="s">
        <v>296</v>
      </c>
      <c r="E17" s="44" t="s">
        <v>237</v>
      </c>
      <c r="F17" s="44" t="s">
        <v>237</v>
      </c>
      <c r="G17" s="44">
        <v>4</v>
      </c>
      <c r="H17" s="170">
        <v>3.56</v>
      </c>
      <c r="I17" s="170" t="s">
        <v>260</v>
      </c>
      <c r="J17" s="126"/>
      <c r="K17" s="23"/>
      <c r="L17" s="28"/>
      <c r="M17" s="28"/>
    </row>
    <row r="18" spans="2:14" ht="41.25" customHeight="1" thickBot="1" x14ac:dyDescent="0.25">
      <c r="B18" s="751" t="s">
        <v>337</v>
      </c>
      <c r="C18" s="756"/>
      <c r="D18" s="44">
        <v>3.63</v>
      </c>
      <c r="E18" s="44">
        <v>3.86</v>
      </c>
      <c r="F18" s="44" t="s">
        <v>237</v>
      </c>
      <c r="G18" s="44">
        <v>3.5</v>
      </c>
      <c r="H18" s="170">
        <v>4</v>
      </c>
      <c r="I18" s="170" t="s">
        <v>260</v>
      </c>
      <c r="J18" s="126"/>
      <c r="K18" s="23"/>
      <c r="L18" s="28"/>
      <c r="M18" s="28"/>
    </row>
    <row r="19" spans="2:14" ht="41.25" customHeight="1" thickBot="1" x14ac:dyDescent="0.25">
      <c r="B19" s="695" t="s">
        <v>250</v>
      </c>
      <c r="C19" s="695"/>
      <c r="D19" s="44">
        <v>1.8</v>
      </c>
      <c r="E19" s="44" t="s">
        <v>237</v>
      </c>
      <c r="F19" s="44" t="s">
        <v>237</v>
      </c>
      <c r="G19" s="44" t="s">
        <v>237</v>
      </c>
      <c r="H19" s="170">
        <v>3.71</v>
      </c>
      <c r="I19" s="170" t="s">
        <v>260</v>
      </c>
      <c r="J19" s="126"/>
      <c r="K19" s="23"/>
      <c r="L19" s="28"/>
      <c r="M19" s="28"/>
    </row>
    <row r="20" spans="2:14" ht="41.25" customHeight="1" thickBot="1" x14ac:dyDescent="0.25">
      <c r="B20" s="695" t="s">
        <v>350</v>
      </c>
      <c r="C20" s="695"/>
      <c r="D20" s="111" t="s">
        <v>296</v>
      </c>
      <c r="E20" s="111" t="s">
        <v>296</v>
      </c>
      <c r="F20" s="111" t="s">
        <v>296</v>
      </c>
      <c r="G20" s="111" t="s">
        <v>296</v>
      </c>
      <c r="H20" s="255">
        <v>4.17</v>
      </c>
      <c r="I20" s="170" t="s">
        <v>260</v>
      </c>
      <c r="J20" s="126"/>
      <c r="K20" s="23"/>
      <c r="L20" s="28"/>
      <c r="M20" s="28"/>
    </row>
    <row r="21" spans="2:14" ht="41.25" customHeight="1" thickBot="1" x14ac:dyDescent="0.25">
      <c r="B21" s="695" t="s">
        <v>252</v>
      </c>
      <c r="C21" s="695"/>
      <c r="D21" s="44">
        <v>3.4</v>
      </c>
      <c r="E21" s="44">
        <v>3.21</v>
      </c>
      <c r="F21" s="44">
        <v>3.36</v>
      </c>
      <c r="G21" s="44">
        <v>4</v>
      </c>
      <c r="H21" s="170">
        <v>3.87</v>
      </c>
      <c r="I21" s="170" t="s">
        <v>260</v>
      </c>
      <c r="J21" s="29"/>
    </row>
    <row r="22" spans="2:14" ht="41.25" customHeight="1" thickBot="1" x14ac:dyDescent="0.25">
      <c r="B22" s="695" t="s">
        <v>253</v>
      </c>
      <c r="C22" s="695"/>
      <c r="D22" s="44">
        <v>2.73</v>
      </c>
      <c r="E22" s="44">
        <v>3.11</v>
      </c>
      <c r="F22" s="44">
        <v>3.4</v>
      </c>
      <c r="G22" s="44">
        <v>4</v>
      </c>
      <c r="H22" s="170">
        <v>3.82</v>
      </c>
      <c r="I22" s="170" t="s">
        <v>260</v>
      </c>
      <c r="J22" s="30"/>
      <c r="K22" s="55"/>
      <c r="L22" s="55"/>
      <c r="M22" s="55"/>
      <c r="N22" s="55"/>
    </row>
    <row r="23" spans="2:14" ht="41.25" customHeight="1" thickBot="1" x14ac:dyDescent="0.25">
      <c r="B23" s="695" t="s">
        <v>254</v>
      </c>
      <c r="C23" s="695"/>
      <c r="D23" s="44">
        <v>2.65</v>
      </c>
      <c r="E23" s="44">
        <v>3.37</v>
      </c>
      <c r="F23" s="44">
        <v>3.08</v>
      </c>
      <c r="G23" s="44">
        <v>4.25</v>
      </c>
      <c r="H23" s="170">
        <v>3.58</v>
      </c>
      <c r="I23" s="170" t="s">
        <v>260</v>
      </c>
      <c r="J23" s="30"/>
      <c r="K23" s="55"/>
      <c r="L23" s="55"/>
      <c r="M23" s="55"/>
      <c r="N23" s="55"/>
    </row>
    <row r="24" spans="2:14" ht="22.5" customHeight="1" x14ac:dyDescent="0.2">
      <c r="B24" s="816" t="str">
        <f>D5</f>
        <v>≥3</v>
      </c>
      <c r="C24" s="816"/>
      <c r="D24" s="17">
        <f t="shared" ref="D24:I24" si="0">COUNTIF(D13:D23,"&gt;=3")</f>
        <v>3</v>
      </c>
      <c r="E24" s="17">
        <f t="shared" si="0"/>
        <v>6</v>
      </c>
      <c r="F24" s="17">
        <f t="shared" si="0"/>
        <v>7</v>
      </c>
      <c r="G24" s="17">
        <f t="shared" si="0"/>
        <v>7</v>
      </c>
      <c r="H24" s="17">
        <f t="shared" si="0"/>
        <v>10</v>
      </c>
      <c r="I24" s="17">
        <f t="shared" si="0"/>
        <v>0</v>
      </c>
    </row>
    <row r="25" spans="2:14" ht="22.5" customHeight="1" x14ac:dyDescent="0.2">
      <c r="B25" s="689" t="s">
        <v>274</v>
      </c>
      <c r="C25" s="689"/>
      <c r="D25" s="17">
        <f t="shared" ref="D25:I25" si="1">COUNT(D13:D23)</f>
        <v>7</v>
      </c>
      <c r="E25" s="17">
        <f t="shared" si="1"/>
        <v>6</v>
      </c>
      <c r="F25" s="17">
        <f t="shared" si="1"/>
        <v>7</v>
      </c>
      <c r="G25" s="17">
        <f t="shared" si="1"/>
        <v>9</v>
      </c>
      <c r="H25" s="17">
        <f t="shared" si="1"/>
        <v>11</v>
      </c>
      <c r="I25" s="17">
        <f t="shared" si="1"/>
        <v>0</v>
      </c>
    </row>
    <row r="26" spans="2:14" ht="22.5" customHeight="1" x14ac:dyDescent="0.2">
      <c r="B26" s="45" t="s">
        <v>523</v>
      </c>
      <c r="C26" s="239" t="str">
        <f>D5</f>
        <v>≥3</v>
      </c>
      <c r="D26" s="74">
        <v>3</v>
      </c>
      <c r="E26" s="74">
        <v>3</v>
      </c>
      <c r="F26" s="74">
        <v>3</v>
      </c>
      <c r="G26" s="74">
        <v>3</v>
      </c>
      <c r="H26" s="74">
        <v>3</v>
      </c>
      <c r="I26" s="74">
        <v>3</v>
      </c>
    </row>
    <row r="27" spans="2:14" ht="22.5" customHeight="1" x14ac:dyDescent="0.2">
      <c r="B27" s="685" t="s">
        <v>232</v>
      </c>
      <c r="C27" s="735"/>
      <c r="D27" s="48">
        <f t="shared" ref="D27:I27" si="2">D24/D25</f>
        <v>0.42857142857142855</v>
      </c>
      <c r="E27" s="48">
        <f t="shared" si="2"/>
        <v>1</v>
      </c>
      <c r="F27" s="48">
        <f t="shared" si="2"/>
        <v>1</v>
      </c>
      <c r="G27" s="48">
        <f t="shared" si="2"/>
        <v>0.77777777777777779</v>
      </c>
      <c r="H27" s="48">
        <f t="shared" si="2"/>
        <v>0.90909090909090906</v>
      </c>
      <c r="I27" s="48" t="e">
        <f t="shared" si="2"/>
        <v>#DIV/0!</v>
      </c>
    </row>
    <row r="28" spans="2:14" ht="22.5" customHeight="1" x14ac:dyDescent="0.25">
      <c r="B28" s="7"/>
      <c r="C28" s="7"/>
      <c r="D28" s="6"/>
      <c r="E28" s="6"/>
      <c r="F28" s="6"/>
      <c r="G28" s="6"/>
      <c r="H28" s="6"/>
      <c r="I28" s="6"/>
      <c r="J28" s="6"/>
    </row>
    <row r="29" spans="2:14" ht="22.5" customHeight="1" x14ac:dyDescent="0.2">
      <c r="B29" s="594" t="s">
        <v>233</v>
      </c>
      <c r="C29" s="595"/>
      <c r="D29" s="595"/>
      <c r="E29" s="596"/>
      <c r="F29" s="8"/>
      <c r="K29" s="594" t="s">
        <v>234</v>
      </c>
      <c r="L29" s="595"/>
      <c r="M29" s="595"/>
      <c r="N29" s="596"/>
    </row>
    <row r="30" spans="2:14" ht="22.5" customHeight="1" x14ac:dyDescent="0.2">
      <c r="B30" s="8"/>
      <c r="C30" s="8"/>
      <c r="D30" s="8"/>
      <c r="E30" s="8"/>
      <c r="F30" s="8"/>
      <c r="K30" s="9"/>
      <c r="L30" s="9"/>
      <c r="M30" s="9"/>
      <c r="N30" s="9"/>
    </row>
    <row r="31" spans="2:14" ht="6" customHeight="1" x14ac:dyDescent="0.2">
      <c r="B31" s="8"/>
      <c r="C31" s="8"/>
      <c r="D31" s="8"/>
      <c r="E31" s="8"/>
      <c r="F31" s="8"/>
      <c r="K31" s="634" t="s">
        <v>524</v>
      </c>
      <c r="L31" s="580"/>
      <c r="M31" s="580"/>
      <c r="N31" s="581"/>
    </row>
    <row r="32" spans="2:14" ht="19.5" customHeight="1" x14ac:dyDescent="0.2">
      <c r="B32" s="8"/>
      <c r="C32" s="8"/>
      <c r="D32" s="8"/>
      <c r="E32" s="8"/>
      <c r="F32" s="8"/>
      <c r="K32" s="582"/>
      <c r="L32" s="583"/>
      <c r="M32" s="583"/>
      <c r="N32" s="584"/>
    </row>
    <row r="33" spans="8:14" ht="19.5" customHeight="1" x14ac:dyDescent="0.2">
      <c r="K33" s="582"/>
      <c r="L33" s="583"/>
      <c r="M33" s="583"/>
      <c r="N33" s="584"/>
    </row>
    <row r="34" spans="8:14" ht="19.5" customHeight="1" x14ac:dyDescent="0.2">
      <c r="K34" s="582"/>
      <c r="L34" s="583"/>
      <c r="M34" s="583"/>
      <c r="N34" s="584"/>
    </row>
    <row r="35" spans="8:14" ht="19.5" customHeight="1" x14ac:dyDescent="0.2">
      <c r="K35" s="582"/>
      <c r="L35" s="583"/>
      <c r="M35" s="583"/>
      <c r="N35" s="584"/>
    </row>
    <row r="36" spans="8:14" ht="19.5" customHeight="1" x14ac:dyDescent="0.2">
      <c r="K36" s="582"/>
      <c r="L36" s="583"/>
      <c r="M36" s="583"/>
      <c r="N36" s="584"/>
    </row>
    <row r="37" spans="8:14" ht="19.5" customHeight="1" x14ac:dyDescent="0.2">
      <c r="K37" s="582"/>
      <c r="L37" s="583"/>
      <c r="M37" s="583"/>
      <c r="N37" s="584"/>
    </row>
    <row r="38" spans="8:14" ht="19.5" customHeight="1" x14ac:dyDescent="0.2">
      <c r="K38" s="582"/>
      <c r="L38" s="583"/>
      <c r="M38" s="583"/>
      <c r="N38" s="584"/>
    </row>
    <row r="39" spans="8:14" ht="19.5" customHeight="1" x14ac:dyDescent="0.2">
      <c r="K39" s="585"/>
      <c r="L39" s="586"/>
      <c r="M39" s="586"/>
      <c r="N39" s="587"/>
    </row>
    <row r="40" spans="8:14" ht="19.5" customHeight="1" x14ac:dyDescent="0.2"/>
    <row r="41" spans="8:14" ht="19.5" customHeight="1" x14ac:dyDescent="0.2">
      <c r="H41" s="588" t="s">
        <v>172</v>
      </c>
      <c r="I41" s="589"/>
      <c r="J41" s="589"/>
    </row>
  </sheetData>
  <sheetProtection sheet="1" formatCells="0" formatColumns="0" formatRows="0" insertColumns="0" insertRows="0" insertHyperlinks="0" deleteRows="0" pivotTables="0"/>
  <mergeCells count="34">
    <mergeCell ref="B2:D2"/>
    <mergeCell ref="E2:J2"/>
    <mergeCell ref="B4:C4"/>
    <mergeCell ref="D4:E4"/>
    <mergeCell ref="F4:G4"/>
    <mergeCell ref="H4:J4"/>
    <mergeCell ref="B7:C7"/>
    <mergeCell ref="D7:J7"/>
    <mergeCell ref="B5:C5"/>
    <mergeCell ref="D5:E5"/>
    <mergeCell ref="F5:G5"/>
    <mergeCell ref="H5:J5"/>
    <mergeCell ref="B6:C6"/>
    <mergeCell ref="D6:E6"/>
    <mergeCell ref="F6:G6"/>
    <mergeCell ref="B19:C19"/>
    <mergeCell ref="B20:C20"/>
    <mergeCell ref="B21:C21"/>
    <mergeCell ref="B22:C22"/>
    <mergeCell ref="B9:J9"/>
    <mergeCell ref="B13:C13"/>
    <mergeCell ref="B14:C14"/>
    <mergeCell ref="B15:C15"/>
    <mergeCell ref="B16:C16"/>
    <mergeCell ref="B17:C17"/>
    <mergeCell ref="B18:C18"/>
    <mergeCell ref="K31:N39"/>
    <mergeCell ref="H41:J41"/>
    <mergeCell ref="B23:C23"/>
    <mergeCell ref="B24:C24"/>
    <mergeCell ref="B25:C25"/>
    <mergeCell ref="B27:C27"/>
    <mergeCell ref="B29:E29"/>
    <mergeCell ref="K29:N29"/>
  </mergeCells>
  <conditionalFormatting sqref="D13:G23">
    <cfRule type="cellIs" dxfId="25" priority="2" operator="between">
      <formula>0</formula>
      <formula>2.7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C618C-017F-4DAC-8004-CB32861675F3}">
  <sheetPr>
    <tabColor theme="9" tint="-0.499984740745262"/>
    <pageSetUpPr fitToPage="1"/>
  </sheetPr>
  <dimension ref="B2:J29"/>
  <sheetViews>
    <sheetView showGridLines="0" topLeftCell="C11" workbookViewId="0">
      <selection activeCell="G14" sqref="G14"/>
    </sheetView>
  </sheetViews>
  <sheetFormatPr defaultColWidth="12.5703125" defaultRowHeight="15.75" customHeight="1" x14ac:dyDescent="0.2"/>
  <cols>
    <col min="1" max="1" width="3.42578125" customWidth="1"/>
    <col min="2" max="2" width="14.140625" customWidth="1"/>
    <col min="3" max="3" width="12.5703125" customWidth="1"/>
    <col min="4" max="4" width="17.28515625" bestFit="1" customWidth="1"/>
    <col min="5" max="5" width="24.28515625" customWidth="1"/>
    <col min="6" max="6" width="12.5703125" customWidth="1"/>
    <col min="7" max="7" width="50.7109375" customWidth="1"/>
    <col min="8" max="8" width="12" customWidth="1"/>
    <col min="9" max="9" width="10.7109375" customWidth="1"/>
    <col min="10" max="17" width="7.5703125" customWidth="1"/>
  </cols>
  <sheetData>
    <row r="2" spans="2:10" ht="55.5" customHeight="1" x14ac:dyDescent="0.2">
      <c r="B2" s="670"/>
      <c r="C2" s="671"/>
      <c r="D2" s="672"/>
      <c r="E2" s="673" t="s">
        <v>213</v>
      </c>
      <c r="F2" s="671"/>
      <c r="G2" s="671"/>
      <c r="H2" s="671"/>
      <c r="I2" s="671"/>
      <c r="J2" s="672"/>
    </row>
    <row r="3" spans="2:10" ht="22.5" customHeight="1" x14ac:dyDescent="0.2">
      <c r="B3" s="46"/>
      <c r="C3" s="46"/>
      <c r="D3" s="47"/>
      <c r="E3" s="47"/>
      <c r="F3" s="47"/>
    </row>
    <row r="4" spans="2:10" ht="42" customHeight="1" x14ac:dyDescent="0.2">
      <c r="B4" s="594" t="s">
        <v>214</v>
      </c>
      <c r="C4" s="596"/>
      <c r="D4" s="63" t="str">
        <f>Índex!B52</f>
        <v xml:space="preserve">PS4.02_Ind01. </v>
      </c>
      <c r="E4" s="70" t="s">
        <v>215</v>
      </c>
      <c r="F4" s="674" t="str">
        <f>Índex!C52</f>
        <v>Percentatge de Taules de Mesures Correctores (TMC) retornades respecte de les TMC emeses</v>
      </c>
      <c r="G4" s="672"/>
    </row>
    <row r="5" spans="2:10" ht="22.5" customHeight="1" x14ac:dyDescent="0.2">
      <c r="B5" s="594" t="s">
        <v>323</v>
      </c>
      <c r="C5" s="596"/>
      <c r="D5" s="131">
        <f>Índex!F52</f>
        <v>1</v>
      </c>
      <c r="E5" s="71" t="s">
        <v>217</v>
      </c>
      <c r="F5" s="843" t="s">
        <v>241</v>
      </c>
      <c r="G5" s="844"/>
    </row>
    <row r="6" spans="2:10" ht="22.5" customHeight="1" x14ac:dyDescent="0.2">
      <c r="B6" s="594" t="s">
        <v>219</v>
      </c>
      <c r="C6" s="596"/>
      <c r="D6" s="63" t="s">
        <v>220</v>
      </c>
      <c r="E6" s="70" t="s">
        <v>242</v>
      </c>
      <c r="F6" s="845" t="str">
        <f>Índex!$E52</f>
        <v>Administradora de Centre</v>
      </c>
      <c r="G6" s="846"/>
    </row>
    <row r="7" spans="2:10" ht="22.5" customHeight="1" x14ac:dyDescent="0.2">
      <c r="B7" s="594" t="s">
        <v>222</v>
      </c>
      <c r="C7" s="596"/>
      <c r="D7" s="674" t="str">
        <f>Índex!G52</f>
        <v>PS4.02. Gestió de la Política de PAS</v>
      </c>
      <c r="E7" s="671"/>
      <c r="F7" s="671"/>
      <c r="G7" s="672"/>
    </row>
    <row r="8" spans="2:10" ht="7.5" customHeight="1" x14ac:dyDescent="0.2"/>
    <row r="9" spans="2:10" ht="22.5" customHeight="1" x14ac:dyDescent="0.2">
      <c r="B9" s="594" t="s">
        <v>223</v>
      </c>
      <c r="C9" s="595"/>
      <c r="D9" s="595"/>
      <c r="E9" s="595"/>
      <c r="F9" s="595"/>
      <c r="G9" s="596"/>
    </row>
    <row r="10" spans="2:10" ht="22.5" customHeight="1" x14ac:dyDescent="0.2">
      <c r="B10" s="14"/>
      <c r="C10" s="13"/>
      <c r="D10" s="13"/>
      <c r="E10" s="13"/>
      <c r="F10" s="13"/>
      <c r="G10" s="13"/>
    </row>
    <row r="11" spans="2:10" ht="22.5" customHeight="1" x14ac:dyDescent="0.2">
      <c r="D11" s="103" t="s">
        <v>224</v>
      </c>
      <c r="E11" s="103" t="s">
        <v>225</v>
      </c>
      <c r="F11" s="103" t="s">
        <v>226</v>
      </c>
      <c r="G11" s="103" t="s">
        <v>227</v>
      </c>
      <c r="H11" s="103" t="s">
        <v>228</v>
      </c>
      <c r="I11" s="103" t="s">
        <v>229</v>
      </c>
    </row>
    <row r="12" spans="2:10" ht="22.5" customHeight="1" thickBot="1" x14ac:dyDescent="0.25">
      <c r="C12" s="72" t="s">
        <v>525</v>
      </c>
      <c r="D12" s="334">
        <v>12</v>
      </c>
      <c r="E12" s="31">
        <v>11</v>
      </c>
      <c r="F12" s="31">
        <v>11</v>
      </c>
      <c r="G12" s="31">
        <v>2</v>
      </c>
      <c r="H12" s="171">
        <v>7</v>
      </c>
      <c r="I12" s="171">
        <v>7</v>
      </c>
    </row>
    <row r="13" spans="2:10" ht="22.5" customHeight="1" thickBot="1" x14ac:dyDescent="0.25">
      <c r="C13" s="72" t="s">
        <v>526</v>
      </c>
      <c r="D13" s="31">
        <v>10</v>
      </c>
      <c r="E13" s="31">
        <v>11</v>
      </c>
      <c r="F13" s="31">
        <v>11</v>
      </c>
      <c r="G13" s="31">
        <v>2</v>
      </c>
      <c r="H13" s="171">
        <v>6</v>
      </c>
      <c r="I13" s="171">
        <v>7</v>
      </c>
    </row>
    <row r="14" spans="2:10" ht="22.5" customHeight="1" x14ac:dyDescent="0.2">
      <c r="B14" s="30" t="s">
        <v>172</v>
      </c>
      <c r="C14" s="45" t="s">
        <v>232</v>
      </c>
      <c r="D14" s="52">
        <f t="shared" ref="D14:I14" si="0">D13/D12</f>
        <v>0.83333333333333337</v>
      </c>
      <c r="E14" s="52">
        <f t="shared" si="0"/>
        <v>1</v>
      </c>
      <c r="F14" s="52">
        <f t="shared" si="0"/>
        <v>1</v>
      </c>
      <c r="G14" s="52">
        <f t="shared" si="0"/>
        <v>1</v>
      </c>
      <c r="H14" s="52">
        <f t="shared" si="0"/>
        <v>0.8571428571428571</v>
      </c>
      <c r="I14" s="52">
        <f t="shared" si="0"/>
        <v>1</v>
      </c>
    </row>
    <row r="15" spans="2:10" ht="22.5" customHeight="1" x14ac:dyDescent="0.2">
      <c r="B15" s="66"/>
      <c r="C15" s="256" t="s">
        <v>310</v>
      </c>
      <c r="D15" s="54">
        <v>1</v>
      </c>
      <c r="E15" s="54">
        <v>1</v>
      </c>
      <c r="F15" s="54">
        <v>1</v>
      </c>
      <c r="G15" s="54">
        <v>1</v>
      </c>
      <c r="H15" s="54">
        <v>1</v>
      </c>
      <c r="I15" s="54">
        <v>1</v>
      </c>
    </row>
    <row r="17" spans="2:10" ht="19.5" customHeight="1" x14ac:dyDescent="0.2">
      <c r="B17" s="594" t="s">
        <v>233</v>
      </c>
      <c r="C17" s="595"/>
      <c r="D17" s="595"/>
      <c r="E17" s="596"/>
      <c r="F17" s="8"/>
      <c r="G17" s="594" t="s">
        <v>234</v>
      </c>
      <c r="H17" s="595"/>
      <c r="I17" s="595"/>
      <c r="J17" s="596"/>
    </row>
    <row r="18" spans="2:10" ht="19.5" customHeight="1" x14ac:dyDescent="0.2">
      <c r="B18" s="8"/>
      <c r="C18" s="8"/>
      <c r="D18" s="8"/>
      <c r="E18" s="8"/>
      <c r="F18" s="8"/>
      <c r="G18" s="9"/>
      <c r="H18" s="9"/>
      <c r="I18" s="9"/>
      <c r="J18" s="9"/>
    </row>
    <row r="19" spans="2:10" ht="19.5" customHeight="1" x14ac:dyDescent="0.2">
      <c r="B19" s="8"/>
      <c r="C19" s="8"/>
      <c r="D19" s="8"/>
      <c r="E19" s="8"/>
      <c r="F19" s="8"/>
      <c r="G19" s="634" t="s">
        <v>527</v>
      </c>
      <c r="H19" s="580"/>
      <c r="I19" s="580"/>
      <c r="J19" s="581"/>
    </row>
    <row r="20" spans="2:10" ht="19.5" customHeight="1" x14ac:dyDescent="0.2">
      <c r="B20" s="8"/>
      <c r="C20" s="8"/>
      <c r="D20" s="8"/>
      <c r="E20" s="8"/>
      <c r="F20" s="8"/>
      <c r="G20" s="582"/>
      <c r="H20" s="583"/>
      <c r="I20" s="583"/>
      <c r="J20" s="584"/>
    </row>
    <row r="21" spans="2:10" ht="19.5" customHeight="1" x14ac:dyDescent="0.2">
      <c r="B21" s="8"/>
      <c r="C21" s="8"/>
      <c r="D21" s="8"/>
      <c r="E21" s="8"/>
      <c r="F21" s="8"/>
      <c r="G21" s="582"/>
      <c r="H21" s="583"/>
      <c r="I21" s="583"/>
      <c r="J21" s="584"/>
    </row>
    <row r="22" spans="2:10" ht="19.5" customHeight="1" x14ac:dyDescent="0.2">
      <c r="B22" s="8"/>
      <c r="C22" s="8"/>
      <c r="D22" s="8"/>
      <c r="E22" s="8"/>
      <c r="F22" s="8"/>
      <c r="G22" s="582"/>
      <c r="H22" s="583"/>
      <c r="I22" s="583"/>
      <c r="J22" s="584"/>
    </row>
    <row r="23" spans="2:10" ht="19.5" customHeight="1" x14ac:dyDescent="0.2">
      <c r="B23" s="8"/>
      <c r="C23" s="8"/>
      <c r="D23" s="8"/>
      <c r="E23" s="8"/>
      <c r="F23" s="8"/>
      <c r="G23" s="582"/>
      <c r="H23" s="583"/>
      <c r="I23" s="583"/>
      <c r="J23" s="584"/>
    </row>
    <row r="24" spans="2:10" ht="19.5" customHeight="1" x14ac:dyDescent="0.2">
      <c r="B24" s="8"/>
      <c r="C24" s="8"/>
      <c r="D24" s="8"/>
      <c r="E24" s="8"/>
      <c r="F24" s="8"/>
      <c r="G24" s="582"/>
      <c r="H24" s="583"/>
      <c r="I24" s="583"/>
      <c r="J24" s="584"/>
    </row>
    <row r="25" spans="2:10" ht="19.5" customHeight="1" x14ac:dyDescent="0.2">
      <c r="B25" s="8"/>
      <c r="C25" s="8"/>
      <c r="D25" s="8"/>
      <c r="E25" s="8"/>
      <c r="F25" s="8"/>
      <c r="G25" s="582"/>
      <c r="H25" s="583"/>
      <c r="I25" s="583"/>
      <c r="J25" s="584"/>
    </row>
    <row r="26" spans="2:10" ht="19.5" customHeight="1" x14ac:dyDescent="0.2">
      <c r="B26" s="8"/>
      <c r="C26" s="8"/>
      <c r="D26" s="8"/>
      <c r="E26" s="8"/>
      <c r="F26" s="8"/>
      <c r="G26" s="582"/>
      <c r="H26" s="583"/>
      <c r="I26" s="583"/>
      <c r="J26" s="584"/>
    </row>
    <row r="27" spans="2:10" ht="19.5" customHeight="1" x14ac:dyDescent="0.2">
      <c r="B27" s="8"/>
      <c r="C27" s="8"/>
      <c r="D27" s="8"/>
      <c r="E27" s="8"/>
      <c r="F27" s="8"/>
      <c r="G27" s="585"/>
      <c r="H27" s="586"/>
      <c r="I27" s="586"/>
      <c r="J27" s="587"/>
    </row>
    <row r="28" spans="2:10" ht="19.5" customHeight="1" x14ac:dyDescent="0.2">
      <c r="H28" s="126" t="s">
        <v>172</v>
      </c>
    </row>
    <row r="29" spans="2:10" ht="19.5" customHeight="1" x14ac:dyDescent="0.2">
      <c r="H29" s="588" t="s">
        <v>172</v>
      </c>
      <c r="I29" s="589"/>
      <c r="J29" s="589"/>
    </row>
  </sheetData>
  <sheetProtection sheet="1" formatCells="0" formatColumns="0" formatRows="0" insertColumns="0" insertRows="0" insertHyperlinks="0" deleteColumns="0" deleteRows="0" pivotTables="0"/>
  <mergeCells count="15">
    <mergeCell ref="G19:J27"/>
    <mergeCell ref="H29:J29"/>
    <mergeCell ref="B2:D2"/>
    <mergeCell ref="B4:C4"/>
    <mergeCell ref="F4:G4"/>
    <mergeCell ref="B5:C5"/>
    <mergeCell ref="F5:G5"/>
    <mergeCell ref="B6:C6"/>
    <mergeCell ref="F6:G6"/>
    <mergeCell ref="B9:G9"/>
    <mergeCell ref="B7:C7"/>
    <mergeCell ref="D7:G7"/>
    <mergeCell ref="E2:J2"/>
    <mergeCell ref="B17:E17"/>
    <mergeCell ref="G17:J17"/>
  </mergeCells>
  <pageMargins left="0.7" right="0.7" top="0.75" bottom="0.75" header="0" footer="0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EA072-04F7-4DFF-8CCD-8B03E0246C4E}">
  <sheetPr>
    <tabColor theme="9" tint="-0.499984740745262"/>
    <pageSetUpPr fitToPage="1"/>
  </sheetPr>
  <dimension ref="B2:J29"/>
  <sheetViews>
    <sheetView showGridLines="0" topLeftCell="A7" workbookViewId="0">
      <selection activeCell="K21" sqref="K21"/>
    </sheetView>
  </sheetViews>
  <sheetFormatPr defaultColWidth="12.5703125" defaultRowHeight="15.75" customHeight="1" x14ac:dyDescent="0.2"/>
  <cols>
    <col min="1" max="1" width="3.42578125" customWidth="1"/>
    <col min="2" max="2" width="14.140625" customWidth="1"/>
    <col min="3" max="3" width="12.5703125" customWidth="1"/>
    <col min="4" max="4" width="17.28515625" bestFit="1" customWidth="1"/>
    <col min="5" max="9" width="12.5703125" customWidth="1"/>
    <col min="10" max="10" width="36.28515625" customWidth="1"/>
    <col min="11" max="11" width="8.85546875" customWidth="1"/>
    <col min="12" max="21" width="7.5703125" customWidth="1"/>
  </cols>
  <sheetData>
    <row r="2" spans="2:10" ht="55.5" customHeight="1" x14ac:dyDescent="0.2">
      <c r="B2" s="670"/>
      <c r="C2" s="671"/>
      <c r="D2" s="672"/>
      <c r="E2" s="673" t="s">
        <v>213</v>
      </c>
      <c r="F2" s="671"/>
      <c r="G2" s="671"/>
      <c r="H2" s="671"/>
      <c r="I2" s="671"/>
      <c r="J2" s="672"/>
    </row>
    <row r="3" spans="2:10" ht="22.5" customHeight="1" x14ac:dyDescent="0.2">
      <c r="B3" s="46"/>
      <c r="C3" s="46"/>
      <c r="D3" s="47"/>
      <c r="E3" s="47"/>
      <c r="F3" s="47"/>
      <c r="G3" s="47"/>
      <c r="H3" s="47"/>
      <c r="I3" s="47"/>
    </row>
    <row r="4" spans="2:10" ht="42" customHeight="1" x14ac:dyDescent="0.2">
      <c r="B4" s="594" t="s">
        <v>214</v>
      </c>
      <c r="C4" s="596"/>
      <c r="D4" s="674" t="str">
        <f>Índex!B53</f>
        <v>PS4.02_Ind02.</v>
      </c>
      <c r="E4" s="672"/>
      <c r="F4" s="594" t="s">
        <v>215</v>
      </c>
      <c r="G4" s="596"/>
      <c r="H4" s="674" t="str">
        <f>Índex!C53</f>
        <v xml:space="preserve"> Nombre d’informes d’avaluació retornats respecte del total rebuts</v>
      </c>
      <c r="I4" s="671"/>
      <c r="J4" s="672"/>
    </row>
    <row r="5" spans="2:10" ht="22.5" customHeight="1" x14ac:dyDescent="0.2">
      <c r="B5" s="594" t="s">
        <v>323</v>
      </c>
      <c r="C5" s="596"/>
      <c r="D5" s="789">
        <f>Índex!F53</f>
        <v>1</v>
      </c>
      <c r="E5" s="790"/>
      <c r="F5" s="732" t="s">
        <v>217</v>
      </c>
      <c r="G5" s="596"/>
      <c r="H5" s="775" t="s">
        <v>241</v>
      </c>
      <c r="I5" s="671"/>
      <c r="J5" s="636"/>
    </row>
    <row r="6" spans="2:10" ht="22.5" customHeight="1" x14ac:dyDescent="0.2">
      <c r="B6" s="594" t="s">
        <v>219</v>
      </c>
      <c r="C6" s="596"/>
      <c r="D6" s="674" t="s">
        <v>220</v>
      </c>
      <c r="E6" s="672"/>
      <c r="F6" s="594" t="s">
        <v>242</v>
      </c>
      <c r="G6" s="596"/>
      <c r="H6" s="12" t="str">
        <f>Índex!E53</f>
        <v>Administradora de Centre</v>
      </c>
      <c r="J6" s="117"/>
    </row>
    <row r="7" spans="2:10" ht="22.5" customHeight="1" x14ac:dyDescent="0.2">
      <c r="B7" s="594" t="s">
        <v>222</v>
      </c>
      <c r="C7" s="596"/>
      <c r="D7" s="674" t="str">
        <f>Índex!G53</f>
        <v>PS4.02. Gestió de la Política de PAS</v>
      </c>
      <c r="E7" s="671"/>
      <c r="F7" s="671"/>
      <c r="G7" s="671"/>
      <c r="H7" s="671"/>
      <c r="I7" s="671"/>
      <c r="J7" s="672"/>
    </row>
    <row r="8" spans="2:10" ht="7.5" customHeight="1" x14ac:dyDescent="0.2"/>
    <row r="9" spans="2:10" ht="22.5" customHeight="1" x14ac:dyDescent="0.2">
      <c r="B9" s="594" t="s">
        <v>223</v>
      </c>
      <c r="C9" s="595"/>
      <c r="D9" s="595"/>
      <c r="E9" s="595"/>
      <c r="F9" s="595"/>
      <c r="G9" s="595"/>
      <c r="H9" s="595"/>
      <c r="I9" s="595"/>
      <c r="J9" s="596"/>
    </row>
    <row r="10" spans="2:10" ht="22.5" customHeight="1" x14ac:dyDescent="0.2">
      <c r="B10" s="14"/>
      <c r="C10" s="13"/>
      <c r="D10" s="13"/>
      <c r="E10" s="13"/>
      <c r="F10" s="13"/>
      <c r="G10" s="13"/>
      <c r="H10" s="13"/>
      <c r="I10" s="13"/>
      <c r="J10" s="13"/>
    </row>
    <row r="11" spans="2:10" ht="22.5" customHeight="1" thickBot="1" x14ac:dyDescent="0.25">
      <c r="D11" s="103" t="s">
        <v>225</v>
      </c>
      <c r="E11" s="103" t="s">
        <v>226</v>
      </c>
      <c r="F11" s="103" t="s">
        <v>227</v>
      </c>
      <c r="G11" s="103" t="s">
        <v>228</v>
      </c>
      <c r="H11" s="103" t="s">
        <v>229</v>
      </c>
      <c r="I11" s="13"/>
      <c r="J11" s="13"/>
    </row>
    <row r="12" spans="2:10" ht="22.5" customHeight="1" thickBot="1" x14ac:dyDescent="0.25">
      <c r="C12" s="258" t="s">
        <v>525</v>
      </c>
      <c r="D12" s="168">
        <v>13</v>
      </c>
      <c r="E12" s="168">
        <v>9</v>
      </c>
      <c r="F12" s="168">
        <v>7</v>
      </c>
      <c r="G12" s="168">
        <v>15</v>
      </c>
      <c r="H12" s="168">
        <v>17</v>
      </c>
      <c r="I12" s="13"/>
      <c r="J12" s="13"/>
    </row>
    <row r="13" spans="2:10" ht="22.5" customHeight="1" thickBot="1" x14ac:dyDescent="0.25">
      <c r="C13" s="172" t="s">
        <v>526</v>
      </c>
      <c r="D13" s="168">
        <v>13</v>
      </c>
      <c r="E13" s="168">
        <v>9</v>
      </c>
      <c r="F13" s="168">
        <v>7</v>
      </c>
      <c r="G13" s="168">
        <v>12</v>
      </c>
      <c r="H13" s="168">
        <v>17</v>
      </c>
      <c r="I13" s="13"/>
      <c r="J13" s="13"/>
    </row>
    <row r="14" spans="2:10" ht="22.5" customHeight="1" x14ac:dyDescent="0.2">
      <c r="B14" s="30" t="s">
        <v>172</v>
      </c>
      <c r="C14" s="45" t="s">
        <v>232</v>
      </c>
      <c r="D14" s="52">
        <f>D13/D12</f>
        <v>1</v>
      </c>
      <c r="E14" s="52">
        <f t="shared" ref="E14:G14" si="0">E13/E12</f>
        <v>1</v>
      </c>
      <c r="F14" s="52">
        <f t="shared" si="0"/>
        <v>1</v>
      </c>
      <c r="G14" s="52">
        <f t="shared" si="0"/>
        <v>0.8</v>
      </c>
      <c r="H14" s="52">
        <f t="shared" ref="H14" si="1">H13/H12</f>
        <v>1</v>
      </c>
    </row>
    <row r="15" spans="2:10" ht="22.5" customHeight="1" x14ac:dyDescent="0.2">
      <c r="B15" s="66"/>
      <c r="C15" s="256" t="s">
        <v>528</v>
      </c>
      <c r="D15" s="54">
        <v>1</v>
      </c>
      <c r="E15" s="54">
        <v>1</v>
      </c>
      <c r="F15" s="54">
        <v>1</v>
      </c>
      <c r="G15" s="54">
        <v>1</v>
      </c>
      <c r="H15" s="54">
        <v>1</v>
      </c>
    </row>
    <row r="17" spans="2:10" ht="22.5" customHeight="1" x14ac:dyDescent="0.2">
      <c r="B17" s="594" t="s">
        <v>233</v>
      </c>
      <c r="C17" s="595"/>
      <c r="D17" s="595"/>
      <c r="E17" s="596"/>
      <c r="F17" s="8"/>
      <c r="G17" s="594" t="s">
        <v>234</v>
      </c>
      <c r="H17" s="595"/>
      <c r="I17" s="595"/>
      <c r="J17" s="596"/>
    </row>
    <row r="18" spans="2:10" ht="22.5" customHeight="1" x14ac:dyDescent="0.2">
      <c r="B18" s="8"/>
      <c r="C18" s="8"/>
      <c r="D18" s="8"/>
      <c r="E18" s="8"/>
      <c r="F18" s="8"/>
      <c r="G18" s="9"/>
      <c r="H18" s="9"/>
      <c r="I18" s="9"/>
      <c r="J18" s="9"/>
    </row>
    <row r="19" spans="2:10" ht="22.5" customHeight="1" x14ac:dyDescent="0.2">
      <c r="B19" s="8"/>
      <c r="C19" s="8"/>
      <c r="D19" s="8"/>
      <c r="E19" s="8"/>
      <c r="F19" s="8"/>
      <c r="G19" s="634" t="s">
        <v>529</v>
      </c>
      <c r="H19" s="580"/>
      <c r="I19" s="580"/>
      <c r="J19" s="581"/>
    </row>
    <row r="20" spans="2:10" ht="6" customHeight="1" x14ac:dyDescent="0.2">
      <c r="B20" s="8"/>
      <c r="C20" s="8"/>
      <c r="D20" s="8"/>
      <c r="E20" s="8"/>
      <c r="F20" s="8"/>
      <c r="G20" s="582"/>
      <c r="H20" s="583"/>
      <c r="I20" s="583"/>
      <c r="J20" s="584"/>
    </row>
    <row r="21" spans="2:10" ht="19.5" customHeight="1" x14ac:dyDescent="0.2">
      <c r="B21" s="8"/>
      <c r="C21" s="8"/>
      <c r="D21" s="8"/>
      <c r="E21" s="8"/>
      <c r="F21" s="8"/>
      <c r="G21" s="582"/>
      <c r="H21" s="583"/>
      <c r="I21" s="583"/>
      <c r="J21" s="584"/>
    </row>
    <row r="22" spans="2:10" ht="19.5" customHeight="1" x14ac:dyDescent="0.2">
      <c r="B22" s="8"/>
      <c r="C22" s="8"/>
      <c r="D22" s="8"/>
      <c r="E22" s="8"/>
      <c r="F22" s="8"/>
      <c r="G22" s="582"/>
      <c r="H22" s="583"/>
      <c r="I22" s="583"/>
      <c r="J22" s="584"/>
    </row>
    <row r="23" spans="2:10" ht="19.5" customHeight="1" x14ac:dyDescent="0.2">
      <c r="B23" s="8"/>
      <c r="C23" s="8"/>
      <c r="D23" s="8"/>
      <c r="E23" s="8"/>
      <c r="F23" s="8"/>
      <c r="G23" s="582"/>
      <c r="H23" s="583"/>
      <c r="I23" s="583"/>
      <c r="J23" s="584"/>
    </row>
    <row r="24" spans="2:10" ht="19.5" customHeight="1" x14ac:dyDescent="0.2">
      <c r="B24" s="8"/>
      <c r="C24" s="8"/>
      <c r="D24" s="8"/>
      <c r="E24" s="8"/>
      <c r="F24" s="8"/>
      <c r="G24" s="582"/>
      <c r="H24" s="583"/>
      <c r="I24" s="583"/>
      <c r="J24" s="584"/>
    </row>
    <row r="25" spans="2:10" ht="19.5" customHeight="1" x14ac:dyDescent="0.2">
      <c r="B25" s="8"/>
      <c r="C25" s="8"/>
      <c r="D25" s="8"/>
      <c r="E25" s="8"/>
      <c r="F25" s="8"/>
      <c r="G25" s="582"/>
      <c r="H25" s="583"/>
      <c r="I25" s="583"/>
      <c r="J25" s="584"/>
    </row>
    <row r="26" spans="2:10" ht="19.5" customHeight="1" x14ac:dyDescent="0.2">
      <c r="B26" s="8"/>
      <c r="C26" s="8"/>
      <c r="D26" s="8"/>
      <c r="E26" s="8"/>
      <c r="F26" s="8"/>
      <c r="G26" s="582"/>
      <c r="H26" s="583"/>
      <c r="I26" s="583"/>
      <c r="J26" s="584"/>
    </row>
    <row r="27" spans="2:10" ht="19.5" customHeight="1" x14ac:dyDescent="0.2">
      <c r="B27" s="8"/>
      <c r="C27" s="8"/>
      <c r="D27" s="8"/>
      <c r="E27" s="8"/>
      <c r="F27" s="8"/>
      <c r="G27" s="585"/>
      <c r="H27" s="586"/>
      <c r="I27" s="586"/>
      <c r="J27" s="587"/>
    </row>
    <row r="28" spans="2:10" ht="19.5" customHeight="1" x14ac:dyDescent="0.2"/>
    <row r="29" spans="2:10" ht="19.5" customHeight="1" x14ac:dyDescent="0.2">
      <c r="H29" s="588" t="s">
        <v>172</v>
      </c>
      <c r="I29" s="589"/>
      <c r="J29" s="589"/>
    </row>
  </sheetData>
  <sheetProtection sheet="1" formatCells="0" formatColumns="0" formatRows="0" insertColumns="0" insertRows="0" insertHyperlinks="0" deleteColumns="0" deleteRows="0" pivotTables="0"/>
  <mergeCells count="20">
    <mergeCell ref="B2:D2"/>
    <mergeCell ref="E2:J2"/>
    <mergeCell ref="B4:C4"/>
    <mergeCell ref="D4:E4"/>
    <mergeCell ref="F4:G4"/>
    <mergeCell ref="H4:J4"/>
    <mergeCell ref="B7:C7"/>
    <mergeCell ref="D7:J7"/>
    <mergeCell ref="B5:C5"/>
    <mergeCell ref="D5:E5"/>
    <mergeCell ref="F5:G5"/>
    <mergeCell ref="H5:J5"/>
    <mergeCell ref="B6:C6"/>
    <mergeCell ref="D6:E6"/>
    <mergeCell ref="F6:G6"/>
    <mergeCell ref="B17:E17"/>
    <mergeCell ref="G17:J17"/>
    <mergeCell ref="G19:J27"/>
    <mergeCell ref="H29:J29"/>
    <mergeCell ref="B9:J9"/>
  </mergeCells>
  <pageMargins left="0.7" right="0.7" top="0.75" bottom="0.75" header="0" footer="0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51F8C-90FD-48FA-B0FC-C7218E91DB0F}">
  <sheetPr>
    <tabColor theme="9" tint="-0.499984740745262"/>
    <pageSetUpPr fitToPage="1"/>
  </sheetPr>
  <dimension ref="B2:J28"/>
  <sheetViews>
    <sheetView showGridLines="0" topLeftCell="A9" workbookViewId="0">
      <selection activeCell="H13" sqref="H13"/>
    </sheetView>
  </sheetViews>
  <sheetFormatPr defaultColWidth="12.5703125" defaultRowHeight="15.75" customHeight="1" x14ac:dyDescent="0.2"/>
  <cols>
    <col min="1" max="1" width="3.42578125" customWidth="1"/>
    <col min="2" max="2" width="14.140625" customWidth="1"/>
    <col min="3" max="3" width="14.42578125" customWidth="1"/>
    <col min="4" max="4" width="17.28515625" bestFit="1" customWidth="1"/>
    <col min="5" max="9" width="12.5703125" customWidth="1"/>
    <col min="10" max="10" width="36.28515625" customWidth="1"/>
    <col min="11" max="11" width="8.85546875" customWidth="1"/>
    <col min="12" max="21" width="7.5703125" customWidth="1"/>
  </cols>
  <sheetData>
    <row r="2" spans="2:10" ht="55.5" customHeight="1" x14ac:dyDescent="0.2">
      <c r="B2" s="670"/>
      <c r="C2" s="671"/>
      <c r="D2" s="672"/>
      <c r="E2" s="673" t="s">
        <v>213</v>
      </c>
      <c r="F2" s="671"/>
      <c r="G2" s="671"/>
      <c r="H2" s="671"/>
      <c r="I2" s="671"/>
      <c r="J2" s="672"/>
    </row>
    <row r="3" spans="2:10" ht="22.5" customHeight="1" x14ac:dyDescent="0.2">
      <c r="B3" s="46"/>
      <c r="C3" s="46"/>
      <c r="D3" s="47"/>
      <c r="E3" s="47"/>
      <c r="F3" s="47"/>
      <c r="G3" s="47"/>
      <c r="H3" s="47"/>
      <c r="I3" s="47"/>
    </row>
    <row r="4" spans="2:10" ht="42" customHeight="1" x14ac:dyDescent="0.2">
      <c r="B4" s="594" t="s">
        <v>214</v>
      </c>
      <c r="C4" s="596"/>
      <c r="D4" s="674" t="str">
        <f>Índex!B54</f>
        <v>PS4.02_Ind03.</v>
      </c>
      <c r="E4" s="672"/>
      <c r="F4" s="594" t="s">
        <v>215</v>
      </c>
      <c r="G4" s="596"/>
      <c r="H4" s="674" t="str">
        <f>Índex!C54</f>
        <v>Percentatge de queixes i suggeriments respostos dins de termini</v>
      </c>
      <c r="I4" s="671"/>
      <c r="J4" s="672"/>
    </row>
    <row r="5" spans="2:10" ht="22.5" customHeight="1" x14ac:dyDescent="0.2">
      <c r="B5" s="594" t="s">
        <v>323</v>
      </c>
      <c r="C5" s="596"/>
      <c r="D5" s="736">
        <f>Índex!F54</f>
        <v>1</v>
      </c>
      <c r="E5" s="672"/>
      <c r="F5" s="732" t="s">
        <v>217</v>
      </c>
      <c r="G5" s="596"/>
      <c r="H5" s="775" t="s">
        <v>241</v>
      </c>
      <c r="I5" s="671"/>
      <c r="J5" s="636"/>
    </row>
    <row r="6" spans="2:10" ht="22.5" customHeight="1" x14ac:dyDescent="0.2">
      <c r="B6" s="594" t="s">
        <v>219</v>
      </c>
      <c r="C6" s="596"/>
      <c r="D6" s="674" t="s">
        <v>220</v>
      </c>
      <c r="E6" s="672"/>
      <c r="F6" s="594" t="s">
        <v>242</v>
      </c>
      <c r="G6" s="596"/>
      <c r="H6" s="12" t="str">
        <f>Índex!E54</f>
        <v>Administradora de Centre</v>
      </c>
      <c r="J6" s="117"/>
    </row>
    <row r="7" spans="2:10" ht="22.5" customHeight="1" x14ac:dyDescent="0.2">
      <c r="B7" s="594" t="s">
        <v>222</v>
      </c>
      <c r="C7" s="596"/>
      <c r="D7" s="674" t="str">
        <f>Índex!G54</f>
        <v>PS4.02. Gestió de la Política de PAS</v>
      </c>
      <c r="E7" s="671"/>
      <c r="F7" s="671"/>
      <c r="G7" s="671"/>
      <c r="H7" s="671"/>
      <c r="I7" s="671"/>
      <c r="J7" s="672"/>
    </row>
    <row r="8" spans="2:10" ht="7.5" customHeight="1" x14ac:dyDescent="0.2"/>
    <row r="9" spans="2:10" ht="22.5" customHeight="1" x14ac:dyDescent="0.2">
      <c r="B9" s="594" t="s">
        <v>223</v>
      </c>
      <c r="C9" s="595"/>
      <c r="D9" s="595"/>
      <c r="E9" s="595"/>
      <c r="F9" s="595"/>
      <c r="G9" s="595"/>
      <c r="H9" s="595"/>
      <c r="I9" s="595"/>
      <c r="J9" s="596"/>
    </row>
    <row r="10" spans="2:10" ht="22.5" customHeight="1" x14ac:dyDescent="0.2">
      <c r="B10" s="14"/>
      <c r="C10" s="13"/>
      <c r="D10" s="13"/>
      <c r="E10" s="13"/>
      <c r="F10" s="13"/>
      <c r="G10" s="13"/>
      <c r="H10" s="13"/>
      <c r="I10" s="13"/>
      <c r="J10" s="13"/>
    </row>
    <row r="11" spans="2:10" ht="22.5" customHeight="1" x14ac:dyDescent="0.2">
      <c r="D11" s="103" t="s">
        <v>224</v>
      </c>
      <c r="E11" s="103" t="s">
        <v>225</v>
      </c>
      <c r="F11" s="103" t="s">
        <v>226</v>
      </c>
      <c r="G11" s="103" t="s">
        <v>227</v>
      </c>
      <c r="H11" s="103" t="s">
        <v>228</v>
      </c>
      <c r="I11" s="103" t="s">
        <v>229</v>
      </c>
      <c r="J11" s="13"/>
    </row>
    <row r="12" spans="2:10" ht="22.5" customHeight="1" x14ac:dyDescent="0.2">
      <c r="C12" s="72" t="s">
        <v>514</v>
      </c>
      <c r="D12" s="57">
        <v>0.8</v>
      </c>
      <c r="E12" s="57">
        <v>0.82</v>
      </c>
      <c r="F12" s="57">
        <v>1</v>
      </c>
      <c r="G12" s="57">
        <v>1</v>
      </c>
      <c r="H12" s="57">
        <v>1</v>
      </c>
      <c r="I12" s="57">
        <v>1</v>
      </c>
      <c r="J12" s="13"/>
    </row>
    <row r="13" spans="2:10" ht="22.5" customHeight="1" x14ac:dyDescent="0.2">
      <c r="B13" s="30" t="s">
        <v>172</v>
      </c>
      <c r="C13" s="335" t="s">
        <v>232</v>
      </c>
      <c r="D13" s="59">
        <f>D12</f>
        <v>0.8</v>
      </c>
      <c r="E13" s="59">
        <f t="shared" ref="E13:G13" si="0">E12</f>
        <v>0.82</v>
      </c>
      <c r="F13" s="59">
        <f t="shared" si="0"/>
        <v>1</v>
      </c>
      <c r="G13" s="59">
        <f t="shared" si="0"/>
        <v>1</v>
      </c>
      <c r="H13" s="59">
        <f t="shared" ref="H13:I13" si="1">H12</f>
        <v>1</v>
      </c>
      <c r="I13" s="59">
        <f t="shared" si="1"/>
        <v>1</v>
      </c>
    </row>
    <row r="14" spans="2:10" ht="22.5" customHeight="1" x14ac:dyDescent="0.2">
      <c r="B14" s="66"/>
      <c r="C14" s="256" t="s">
        <v>528</v>
      </c>
      <c r="D14" s="54">
        <v>1</v>
      </c>
      <c r="E14" s="54">
        <v>1</v>
      </c>
      <c r="F14" s="54">
        <v>1</v>
      </c>
      <c r="G14" s="54">
        <v>1</v>
      </c>
      <c r="H14" s="54">
        <v>1</v>
      </c>
      <c r="I14" s="54">
        <v>1</v>
      </c>
    </row>
    <row r="15" spans="2:10" ht="22.5" customHeight="1" x14ac:dyDescent="0.2">
      <c r="B15" s="66"/>
      <c r="C15" s="67"/>
      <c r="D15" s="66"/>
      <c r="E15" s="66"/>
      <c r="F15" s="66"/>
      <c r="G15" s="13"/>
    </row>
    <row r="16" spans="2:10" ht="22.5" customHeight="1" x14ac:dyDescent="0.2">
      <c r="B16" s="594" t="s">
        <v>233</v>
      </c>
      <c r="C16" s="595"/>
      <c r="D16" s="595"/>
      <c r="E16" s="596"/>
      <c r="F16" s="8"/>
      <c r="G16" s="594" t="s">
        <v>234</v>
      </c>
      <c r="H16" s="595"/>
      <c r="I16" s="595"/>
      <c r="J16" s="596"/>
    </row>
    <row r="18" spans="7:10" ht="22.5" customHeight="1" x14ac:dyDescent="0.2">
      <c r="G18" s="634" t="s">
        <v>530</v>
      </c>
      <c r="H18" s="580"/>
      <c r="I18" s="580"/>
      <c r="J18" s="581"/>
    </row>
    <row r="19" spans="7:10" ht="6" customHeight="1" x14ac:dyDescent="0.2">
      <c r="G19" s="582"/>
      <c r="H19" s="583"/>
      <c r="I19" s="583"/>
      <c r="J19" s="584"/>
    </row>
    <row r="20" spans="7:10" ht="19.5" customHeight="1" x14ac:dyDescent="0.2">
      <c r="G20" s="582"/>
      <c r="H20" s="583"/>
      <c r="I20" s="583"/>
      <c r="J20" s="584"/>
    </row>
    <row r="21" spans="7:10" ht="19.5" customHeight="1" x14ac:dyDescent="0.2">
      <c r="G21" s="582"/>
      <c r="H21" s="583"/>
      <c r="I21" s="583"/>
      <c r="J21" s="584"/>
    </row>
    <row r="22" spans="7:10" ht="19.5" customHeight="1" x14ac:dyDescent="0.2">
      <c r="G22" s="582"/>
      <c r="H22" s="583"/>
      <c r="I22" s="583"/>
      <c r="J22" s="584"/>
    </row>
    <row r="23" spans="7:10" ht="19.5" customHeight="1" x14ac:dyDescent="0.2">
      <c r="G23" s="582"/>
      <c r="H23" s="583"/>
      <c r="I23" s="583"/>
      <c r="J23" s="584"/>
    </row>
    <row r="24" spans="7:10" ht="19.5" customHeight="1" x14ac:dyDescent="0.2">
      <c r="G24" s="582"/>
      <c r="H24" s="583"/>
      <c r="I24" s="583"/>
      <c r="J24" s="584"/>
    </row>
    <row r="25" spans="7:10" ht="19.5" customHeight="1" x14ac:dyDescent="0.2">
      <c r="G25" s="582"/>
      <c r="H25" s="583"/>
      <c r="I25" s="583"/>
      <c r="J25" s="584"/>
    </row>
    <row r="26" spans="7:10" ht="19.5" customHeight="1" x14ac:dyDescent="0.2">
      <c r="G26" s="585"/>
      <c r="H26" s="586"/>
      <c r="I26" s="586"/>
      <c r="J26" s="587"/>
    </row>
    <row r="27" spans="7:10" ht="19.5" customHeight="1" x14ac:dyDescent="0.2"/>
    <row r="28" spans="7:10" ht="19.5" customHeight="1" x14ac:dyDescent="0.2">
      <c r="H28" s="588" t="s">
        <v>172</v>
      </c>
      <c r="I28" s="589"/>
      <c r="J28" s="589"/>
    </row>
  </sheetData>
  <sheetProtection sheet="1" formatCells="0" formatColumns="0" formatRows="0" insertColumns="0" insertRows="0" insertHyperlinks="0" deleteColumns="0" deleteRows="0" pivotTables="0"/>
  <mergeCells count="20">
    <mergeCell ref="H28:J28"/>
    <mergeCell ref="B7:C7"/>
    <mergeCell ref="D7:J7"/>
    <mergeCell ref="B9:J9"/>
    <mergeCell ref="B16:E16"/>
    <mergeCell ref="G16:J16"/>
    <mergeCell ref="G18:J26"/>
    <mergeCell ref="B5:C5"/>
    <mergeCell ref="D5:E5"/>
    <mergeCell ref="F5:G5"/>
    <mergeCell ref="H5:J5"/>
    <mergeCell ref="B6:C6"/>
    <mergeCell ref="D6:E6"/>
    <mergeCell ref="F6:G6"/>
    <mergeCell ref="B2:D2"/>
    <mergeCell ref="E2:J2"/>
    <mergeCell ref="B4:C4"/>
    <mergeCell ref="D4:E4"/>
    <mergeCell ref="F4:G4"/>
    <mergeCell ref="H4:J4"/>
  </mergeCells>
  <pageMargins left="0.7" right="0.7" top="0.75" bottom="0.75" header="0" footer="0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213C6-49B4-43D3-ACAA-4AEAEDED5F58}">
  <sheetPr>
    <tabColor theme="9" tint="-0.499984740745262"/>
    <pageSetUpPr fitToPage="1"/>
  </sheetPr>
  <dimension ref="B2:J28"/>
  <sheetViews>
    <sheetView showGridLines="0" topLeftCell="A12" workbookViewId="0">
      <selection activeCell="I14" sqref="I14"/>
    </sheetView>
  </sheetViews>
  <sheetFormatPr defaultColWidth="12.5703125" defaultRowHeight="15.75" customHeight="1" x14ac:dyDescent="0.2"/>
  <cols>
    <col min="1" max="1" width="3.42578125" customWidth="1"/>
    <col min="2" max="2" width="14.140625" customWidth="1"/>
    <col min="3" max="3" width="12.5703125" customWidth="1"/>
    <col min="4" max="4" width="17.28515625" bestFit="1" customWidth="1"/>
    <col min="5" max="9" width="12.5703125" customWidth="1"/>
    <col min="10" max="10" width="36.28515625" customWidth="1"/>
    <col min="11" max="11" width="8.85546875" customWidth="1"/>
    <col min="12" max="21" width="7.5703125" customWidth="1"/>
  </cols>
  <sheetData>
    <row r="2" spans="2:10" ht="55.5" customHeight="1" x14ac:dyDescent="0.2">
      <c r="B2" s="670"/>
      <c r="C2" s="671"/>
      <c r="D2" s="672"/>
      <c r="E2" s="673" t="s">
        <v>213</v>
      </c>
      <c r="F2" s="671"/>
      <c r="G2" s="671"/>
      <c r="H2" s="671"/>
      <c r="I2" s="671"/>
      <c r="J2" s="672"/>
    </row>
    <row r="3" spans="2:10" ht="22.5" customHeight="1" x14ac:dyDescent="0.2">
      <c r="B3" s="46"/>
      <c r="C3" s="46"/>
      <c r="D3" s="47"/>
      <c r="E3" s="47"/>
      <c r="F3" s="47"/>
      <c r="G3" s="47"/>
      <c r="H3" s="47"/>
      <c r="I3" s="47"/>
    </row>
    <row r="4" spans="2:10" ht="42" customHeight="1" x14ac:dyDescent="0.2">
      <c r="B4" s="594" t="s">
        <v>214</v>
      </c>
      <c r="C4" s="596"/>
      <c r="D4" s="674" t="str">
        <f>Índex!B55</f>
        <v>PS4.02_Ind04.</v>
      </c>
      <c r="E4" s="672"/>
      <c r="F4" s="594" t="s">
        <v>215</v>
      </c>
      <c r="G4" s="596"/>
      <c r="H4" s="674" t="str">
        <f>Índex!C55</f>
        <v xml:space="preserve"> Temps mitjà de resposta igual o inferior a 7,5 dies hàbils de les queixes i els suggeriments (termini màxim: 15 dies hàbils)</v>
      </c>
      <c r="I4" s="671"/>
      <c r="J4" s="672"/>
    </row>
    <row r="5" spans="2:10" ht="22.5" customHeight="1" x14ac:dyDescent="0.2">
      <c r="B5" s="594" t="s">
        <v>323</v>
      </c>
      <c r="C5" s="596"/>
      <c r="D5" s="674">
        <f>Índex!F55</f>
        <v>15</v>
      </c>
      <c r="E5" s="672"/>
      <c r="F5" s="732" t="s">
        <v>217</v>
      </c>
      <c r="G5" s="596"/>
      <c r="H5" s="775" t="s">
        <v>241</v>
      </c>
      <c r="I5" s="671"/>
      <c r="J5" s="636"/>
    </row>
    <row r="6" spans="2:10" ht="22.5" customHeight="1" x14ac:dyDescent="0.2">
      <c r="B6" s="594" t="s">
        <v>219</v>
      </c>
      <c r="C6" s="596"/>
      <c r="D6" s="674" t="s">
        <v>220</v>
      </c>
      <c r="E6" s="672"/>
      <c r="F6" s="594" t="s">
        <v>242</v>
      </c>
      <c r="G6" s="596"/>
      <c r="H6" s="12" t="str">
        <f>Índex!E55</f>
        <v>Administradora de Centre</v>
      </c>
      <c r="J6" s="117"/>
    </row>
    <row r="7" spans="2:10" ht="22.5" customHeight="1" x14ac:dyDescent="0.2">
      <c r="B7" s="594" t="s">
        <v>222</v>
      </c>
      <c r="C7" s="596"/>
      <c r="D7" s="674" t="str">
        <f>Índex!G55</f>
        <v>PS4.02. Gestió de la Política de PAS</v>
      </c>
      <c r="E7" s="671"/>
      <c r="F7" s="671"/>
      <c r="G7" s="671"/>
      <c r="H7" s="671"/>
      <c r="I7" s="671"/>
      <c r="J7" s="672"/>
    </row>
    <row r="8" spans="2:10" ht="7.5" customHeight="1" x14ac:dyDescent="0.2"/>
    <row r="9" spans="2:10" ht="22.5" customHeight="1" x14ac:dyDescent="0.2">
      <c r="B9" s="594" t="s">
        <v>223</v>
      </c>
      <c r="C9" s="595"/>
      <c r="D9" s="595"/>
      <c r="E9" s="595"/>
      <c r="F9" s="595"/>
      <c r="G9" s="595"/>
      <c r="H9" s="595"/>
      <c r="I9" s="595"/>
      <c r="J9" s="596"/>
    </row>
    <row r="10" spans="2:10" ht="22.5" customHeight="1" x14ac:dyDescent="0.2">
      <c r="B10" s="14"/>
      <c r="C10" s="13"/>
      <c r="D10" s="13"/>
      <c r="E10" s="13"/>
      <c r="F10" s="13"/>
      <c r="G10" s="13"/>
      <c r="H10" s="13"/>
      <c r="I10" s="13"/>
      <c r="J10" s="13"/>
    </row>
    <row r="11" spans="2:10" ht="22.5" customHeight="1" x14ac:dyDescent="0.2">
      <c r="D11" s="105" t="s">
        <v>224</v>
      </c>
      <c r="E11" s="105" t="s">
        <v>225</v>
      </c>
      <c r="F11" s="105" t="s">
        <v>226</v>
      </c>
      <c r="G11" s="105" t="s">
        <v>227</v>
      </c>
      <c r="H11" s="105" t="s">
        <v>228</v>
      </c>
      <c r="I11" s="105" t="s">
        <v>229</v>
      </c>
      <c r="J11" s="13"/>
    </row>
    <row r="12" spans="2:10" ht="22.5" customHeight="1" x14ac:dyDescent="0.2">
      <c r="C12" s="72" t="s">
        <v>531</v>
      </c>
      <c r="D12" s="31" t="s">
        <v>238</v>
      </c>
      <c r="E12" s="31">
        <v>11.19</v>
      </c>
      <c r="F12" s="31">
        <v>8.0500000000000007</v>
      </c>
      <c r="G12" s="31">
        <v>3.94</v>
      </c>
      <c r="H12" s="31">
        <v>5.72</v>
      </c>
      <c r="I12" s="31">
        <v>3.8</v>
      </c>
      <c r="J12" s="13"/>
    </row>
    <row r="13" spans="2:10" ht="22.5" customHeight="1" x14ac:dyDescent="0.2">
      <c r="B13" s="30" t="s">
        <v>172</v>
      </c>
      <c r="C13" s="45" t="s">
        <v>232</v>
      </c>
      <c r="D13" s="52">
        <f>COUNTIF(D12,"&lt;015")</f>
        <v>0</v>
      </c>
      <c r="E13" s="52">
        <f t="shared" ref="E13:G13" si="0">COUNTIF(E12,"&lt;015")</f>
        <v>1</v>
      </c>
      <c r="F13" s="52">
        <f t="shared" si="0"/>
        <v>1</v>
      </c>
      <c r="G13" s="52">
        <f t="shared" si="0"/>
        <v>1</v>
      </c>
      <c r="H13" s="52">
        <f t="shared" ref="H13:I13" si="1">COUNTIF(H12,"&lt;015")</f>
        <v>1</v>
      </c>
      <c r="I13" s="52">
        <f t="shared" si="1"/>
        <v>1</v>
      </c>
    </row>
    <row r="14" spans="2:10" ht="22.5" customHeight="1" x14ac:dyDescent="0.2">
      <c r="B14" s="66"/>
      <c r="C14" s="256" t="s">
        <v>528</v>
      </c>
      <c r="D14" s="27">
        <v>15</v>
      </c>
      <c r="E14" s="27">
        <v>15</v>
      </c>
      <c r="F14" s="27">
        <v>15</v>
      </c>
      <c r="G14" s="27">
        <v>15</v>
      </c>
      <c r="H14" s="27">
        <v>15</v>
      </c>
      <c r="I14" s="27">
        <v>15</v>
      </c>
    </row>
    <row r="15" spans="2:10" ht="22.5" customHeight="1" x14ac:dyDescent="0.2">
      <c r="B15" s="66"/>
      <c r="C15" s="67"/>
      <c r="D15" s="66"/>
      <c r="E15" s="66"/>
      <c r="F15" s="66"/>
      <c r="G15" s="13"/>
    </row>
    <row r="16" spans="2:10" ht="22.5" customHeight="1" x14ac:dyDescent="0.2">
      <c r="B16" s="594" t="s">
        <v>233</v>
      </c>
      <c r="C16" s="595"/>
      <c r="D16" s="595"/>
      <c r="E16" s="596"/>
      <c r="F16" s="8"/>
      <c r="G16" s="594" t="s">
        <v>234</v>
      </c>
      <c r="H16" s="595"/>
      <c r="I16" s="595"/>
      <c r="J16" s="596"/>
    </row>
    <row r="18" spans="7:10" ht="22.5" customHeight="1" x14ac:dyDescent="0.2">
      <c r="G18" s="634" t="s">
        <v>530</v>
      </c>
      <c r="H18" s="580"/>
      <c r="I18" s="580"/>
      <c r="J18" s="581"/>
    </row>
    <row r="19" spans="7:10" ht="6" customHeight="1" x14ac:dyDescent="0.2">
      <c r="G19" s="582"/>
      <c r="H19" s="583"/>
      <c r="I19" s="583"/>
      <c r="J19" s="584"/>
    </row>
    <row r="20" spans="7:10" ht="19.5" customHeight="1" x14ac:dyDescent="0.2">
      <c r="G20" s="582"/>
      <c r="H20" s="583"/>
      <c r="I20" s="583"/>
      <c r="J20" s="584"/>
    </row>
    <row r="21" spans="7:10" ht="19.5" customHeight="1" x14ac:dyDescent="0.2">
      <c r="G21" s="582"/>
      <c r="H21" s="583"/>
      <c r="I21" s="583"/>
      <c r="J21" s="584"/>
    </row>
    <row r="22" spans="7:10" ht="19.5" customHeight="1" x14ac:dyDescent="0.2">
      <c r="G22" s="582"/>
      <c r="H22" s="583"/>
      <c r="I22" s="583"/>
      <c r="J22" s="584"/>
    </row>
    <row r="23" spans="7:10" ht="19.5" customHeight="1" x14ac:dyDescent="0.2">
      <c r="G23" s="582"/>
      <c r="H23" s="583"/>
      <c r="I23" s="583"/>
      <c r="J23" s="584"/>
    </row>
    <row r="24" spans="7:10" ht="19.5" customHeight="1" x14ac:dyDescent="0.2">
      <c r="G24" s="582"/>
      <c r="H24" s="583"/>
      <c r="I24" s="583"/>
      <c r="J24" s="584"/>
    </row>
    <row r="25" spans="7:10" ht="19.5" customHeight="1" x14ac:dyDescent="0.2">
      <c r="G25" s="582"/>
      <c r="H25" s="583"/>
      <c r="I25" s="583"/>
      <c r="J25" s="584"/>
    </row>
    <row r="26" spans="7:10" ht="19.5" customHeight="1" x14ac:dyDescent="0.2">
      <c r="G26" s="585"/>
      <c r="H26" s="586"/>
      <c r="I26" s="586"/>
      <c r="J26" s="587"/>
    </row>
    <row r="27" spans="7:10" ht="19.5" customHeight="1" x14ac:dyDescent="0.2"/>
    <row r="28" spans="7:10" ht="19.5" customHeight="1" x14ac:dyDescent="0.2">
      <c r="H28" s="588" t="s">
        <v>172</v>
      </c>
      <c r="I28" s="589"/>
      <c r="J28" s="589"/>
    </row>
  </sheetData>
  <sheetProtection sheet="1" formatCells="0" formatColumns="0" formatRows="0" insertColumns="0" insertRows="0" insertHyperlinks="0" deleteColumns="0" deleteRows="0" pivotTables="0"/>
  <mergeCells count="20">
    <mergeCell ref="H28:J28"/>
    <mergeCell ref="B7:C7"/>
    <mergeCell ref="D7:J7"/>
    <mergeCell ref="B9:J9"/>
    <mergeCell ref="B16:E16"/>
    <mergeCell ref="G16:J16"/>
    <mergeCell ref="G18:J26"/>
    <mergeCell ref="B5:C5"/>
    <mergeCell ref="D5:E5"/>
    <mergeCell ref="F5:G5"/>
    <mergeCell ref="H5:J5"/>
    <mergeCell ref="B6:C6"/>
    <mergeCell ref="D6:E6"/>
    <mergeCell ref="F6:G6"/>
    <mergeCell ref="B2:D2"/>
    <mergeCell ref="E2:J2"/>
    <mergeCell ref="B4:C4"/>
    <mergeCell ref="D4:E4"/>
    <mergeCell ref="F4:G4"/>
    <mergeCell ref="H4:J4"/>
  </mergeCells>
  <pageMargins left="0.7" right="0.7" top="0.75" bottom="0.75" header="0" footer="0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8F90A-8461-4DBC-951C-A54D63C89539}">
  <sheetPr>
    <tabColor theme="9" tint="-0.499984740745262"/>
    <pageSetUpPr fitToPage="1"/>
  </sheetPr>
  <dimension ref="B2:O74"/>
  <sheetViews>
    <sheetView showGridLines="0" topLeftCell="A57" workbookViewId="0">
      <selection activeCell="F58" sqref="F58"/>
    </sheetView>
  </sheetViews>
  <sheetFormatPr defaultColWidth="12.5703125" defaultRowHeight="15.75" customHeight="1" x14ac:dyDescent="0.2"/>
  <cols>
    <col min="1" max="1" width="3.42578125" customWidth="1"/>
    <col min="2" max="2" width="14.140625" customWidth="1"/>
    <col min="3" max="3" width="16.5703125" customWidth="1"/>
    <col min="4" max="4" width="17.28515625" bestFit="1" customWidth="1"/>
    <col min="5" max="9" width="12.5703125" customWidth="1"/>
    <col min="10" max="11" width="14.85546875" customWidth="1"/>
    <col min="12" max="12" width="11.42578125" customWidth="1"/>
    <col min="13" max="13" width="10.85546875" customWidth="1"/>
    <col min="14" max="14" width="12.140625" customWidth="1"/>
    <col min="15" max="15" width="13.28515625" customWidth="1"/>
    <col min="16" max="21" width="7.5703125" customWidth="1"/>
  </cols>
  <sheetData>
    <row r="2" spans="2:15" ht="55.5" customHeight="1" x14ac:dyDescent="0.2">
      <c r="B2" s="670"/>
      <c r="C2" s="671"/>
      <c r="D2" s="672"/>
      <c r="E2" s="673" t="s">
        <v>213</v>
      </c>
      <c r="F2" s="671"/>
      <c r="G2" s="671"/>
      <c r="H2" s="671"/>
      <c r="I2" s="671"/>
      <c r="J2" s="672"/>
      <c r="K2" s="13"/>
    </row>
    <row r="3" spans="2:15" ht="22.5" customHeight="1" x14ac:dyDescent="0.2">
      <c r="B3" s="46"/>
      <c r="C3" s="46"/>
      <c r="D3" s="47"/>
      <c r="E3" s="47"/>
      <c r="F3" s="47"/>
      <c r="G3" s="47"/>
      <c r="H3" s="47"/>
      <c r="I3" s="47"/>
    </row>
    <row r="4" spans="2:15" ht="42" customHeight="1" x14ac:dyDescent="0.2">
      <c r="B4" s="594" t="s">
        <v>214</v>
      </c>
      <c r="C4" s="596"/>
      <c r="D4" s="674" t="str">
        <f>Índex!B56</f>
        <v xml:space="preserve">PS4.03_Ind01. </v>
      </c>
      <c r="E4" s="672"/>
      <c r="F4" s="594" t="s">
        <v>215</v>
      </c>
      <c r="G4" s="682"/>
      <c r="H4" s="674" t="str">
        <f>Índex!C56</f>
        <v>Percentatge de PDI desglossat per categoria i sexe</v>
      </c>
      <c r="I4" s="671"/>
      <c r="J4" s="672"/>
      <c r="K4" s="13"/>
    </row>
    <row r="5" spans="2:15" ht="22.5" customHeight="1" x14ac:dyDescent="0.2">
      <c r="B5" s="594" t="s">
        <v>368</v>
      </c>
      <c r="C5" s="596"/>
      <c r="D5" s="674">
        <f>Índex!F56</f>
        <v>0.3</v>
      </c>
      <c r="E5" s="672"/>
      <c r="F5" s="732" t="s">
        <v>217</v>
      </c>
      <c r="G5" s="864"/>
      <c r="H5" s="775" t="s">
        <v>241</v>
      </c>
      <c r="I5" s="671"/>
      <c r="J5" s="636"/>
      <c r="K5" s="13"/>
    </row>
    <row r="6" spans="2:15" ht="22.5" customHeight="1" x14ac:dyDescent="0.2">
      <c r="B6" s="594" t="s">
        <v>219</v>
      </c>
      <c r="C6" s="596"/>
      <c r="D6" s="674" t="s">
        <v>220</v>
      </c>
      <c r="E6" s="672"/>
      <c r="F6" s="594" t="s">
        <v>242</v>
      </c>
      <c r="G6" s="682"/>
      <c r="H6" s="12" t="str">
        <f>Índex!$E56</f>
        <v xml:space="preserve">Secretària de Deganat </v>
      </c>
      <c r="J6" s="108"/>
    </row>
    <row r="7" spans="2:15" ht="22.5" customHeight="1" x14ac:dyDescent="0.2">
      <c r="B7" s="594" t="s">
        <v>222</v>
      </c>
      <c r="C7" s="596"/>
      <c r="D7" s="674" t="str">
        <f>Índex!G56</f>
        <v xml:space="preserve">PS4.03. Gestió de la Política de PDI  </v>
      </c>
      <c r="E7" s="671"/>
      <c r="F7" s="671"/>
      <c r="G7" s="671"/>
      <c r="H7" s="671"/>
      <c r="I7" s="671"/>
      <c r="J7" s="672"/>
      <c r="K7" s="13"/>
    </row>
    <row r="8" spans="2:15" ht="7.5" customHeight="1" x14ac:dyDescent="0.2"/>
    <row r="9" spans="2:15" ht="22.5" customHeight="1" x14ac:dyDescent="0.2">
      <c r="B9" s="594" t="s">
        <v>223</v>
      </c>
      <c r="C9" s="595"/>
      <c r="D9" s="595"/>
      <c r="E9" s="595"/>
      <c r="F9" s="595"/>
      <c r="G9" s="595"/>
      <c r="H9" s="595"/>
      <c r="I9" s="595"/>
      <c r="J9" s="596"/>
      <c r="K9" s="259"/>
    </row>
    <row r="10" spans="2:15" ht="22.5" customHeight="1" thickBot="1" x14ac:dyDescent="0.25">
      <c r="B10" s="14"/>
      <c r="C10" s="13"/>
      <c r="D10" s="13"/>
      <c r="E10" s="13"/>
      <c r="F10" s="13"/>
      <c r="G10" s="13"/>
      <c r="H10" s="13"/>
      <c r="I10" s="13"/>
      <c r="J10" s="13"/>
      <c r="K10" s="13"/>
    </row>
    <row r="11" spans="2:15" ht="22.5" customHeight="1" thickBot="1" x14ac:dyDescent="0.25">
      <c r="B11" s="850" t="s">
        <v>532</v>
      </c>
      <c r="C11" s="852" t="s">
        <v>533</v>
      </c>
      <c r="D11" s="854" t="s">
        <v>534</v>
      </c>
      <c r="E11" s="855"/>
      <c r="F11" s="855"/>
      <c r="G11" s="856"/>
      <c r="H11" s="847" t="s">
        <v>535</v>
      </c>
      <c r="I11" s="848"/>
      <c r="J11" s="848"/>
      <c r="K11" s="857"/>
      <c r="L11" s="847" t="s">
        <v>536</v>
      </c>
      <c r="M11" s="848"/>
      <c r="N11" s="848"/>
      <c r="O11" s="849"/>
    </row>
    <row r="12" spans="2:15" ht="22.5" customHeight="1" thickBot="1" x14ac:dyDescent="0.25">
      <c r="B12" s="851"/>
      <c r="C12" s="853"/>
      <c r="D12" s="477">
        <v>2020</v>
      </c>
      <c r="E12" s="477">
        <v>2021</v>
      </c>
      <c r="F12" s="477">
        <v>2022</v>
      </c>
      <c r="G12" s="477">
        <v>2023</v>
      </c>
      <c r="H12" s="477">
        <v>2020</v>
      </c>
      <c r="I12" s="477">
        <v>2021</v>
      </c>
      <c r="J12" s="477">
        <v>2022</v>
      </c>
      <c r="K12" s="477">
        <v>2023</v>
      </c>
      <c r="L12" s="478">
        <v>2020</v>
      </c>
      <c r="M12" s="478">
        <v>2021</v>
      </c>
      <c r="N12" s="478">
        <v>2022</v>
      </c>
      <c r="O12" s="478">
        <v>2023</v>
      </c>
    </row>
    <row r="13" spans="2:15" ht="22.5" customHeight="1" thickBot="1" x14ac:dyDescent="0.25">
      <c r="B13" s="858" t="s">
        <v>537</v>
      </c>
      <c r="C13" s="457" t="s">
        <v>265</v>
      </c>
      <c r="D13" s="460">
        <v>14</v>
      </c>
      <c r="E13" s="460">
        <v>12</v>
      </c>
      <c r="F13" s="460">
        <v>11</v>
      </c>
      <c r="G13" s="460">
        <v>14</v>
      </c>
      <c r="H13" s="460">
        <v>57</v>
      </c>
      <c r="I13" s="460">
        <v>63</v>
      </c>
      <c r="J13" s="460">
        <v>62</v>
      </c>
      <c r="K13" s="460">
        <v>59</v>
      </c>
      <c r="L13" s="479">
        <v>0.19700000000000001</v>
      </c>
      <c r="M13" s="479">
        <v>0.16</v>
      </c>
      <c r="N13" s="479">
        <v>0.151</v>
      </c>
      <c r="O13" s="479">
        <v>0.192</v>
      </c>
    </row>
    <row r="14" spans="2:15" ht="22.5" customHeight="1" thickBot="1" x14ac:dyDescent="0.25">
      <c r="B14" s="859"/>
      <c r="C14" s="480" t="s">
        <v>538</v>
      </c>
      <c r="D14" s="459">
        <v>7</v>
      </c>
      <c r="E14" s="459">
        <v>7</v>
      </c>
      <c r="F14" s="459">
        <v>5</v>
      </c>
      <c r="G14" s="459">
        <v>7</v>
      </c>
      <c r="H14" s="459">
        <v>20</v>
      </c>
      <c r="I14" s="459">
        <v>28</v>
      </c>
      <c r="J14" s="459">
        <v>30</v>
      </c>
      <c r="K14" s="459">
        <v>27</v>
      </c>
      <c r="L14" s="481">
        <v>0.25900000000000001</v>
      </c>
      <c r="M14" s="481">
        <v>0.2</v>
      </c>
      <c r="N14" s="481">
        <v>0.14299999999999999</v>
      </c>
      <c r="O14" s="481">
        <v>0.20599999999999999</v>
      </c>
    </row>
    <row r="15" spans="2:15" ht="22.5" customHeight="1" thickBot="1" x14ac:dyDescent="0.25">
      <c r="B15" s="859"/>
      <c r="C15" s="480" t="s">
        <v>539</v>
      </c>
      <c r="D15" s="459">
        <v>0</v>
      </c>
      <c r="E15" s="459">
        <v>0</v>
      </c>
      <c r="F15" s="459">
        <v>0</v>
      </c>
      <c r="G15" s="459">
        <v>1</v>
      </c>
      <c r="H15" s="459">
        <v>1</v>
      </c>
      <c r="I15" s="459">
        <v>1</v>
      </c>
      <c r="J15" s="459">
        <v>1</v>
      </c>
      <c r="K15" s="459">
        <v>4</v>
      </c>
      <c r="L15" s="481">
        <v>0</v>
      </c>
      <c r="M15" s="481">
        <v>0</v>
      </c>
      <c r="N15" s="481">
        <v>0</v>
      </c>
      <c r="O15" s="481">
        <v>0.2</v>
      </c>
    </row>
    <row r="16" spans="2:15" ht="22.5" customHeight="1" thickBot="1" x14ac:dyDescent="0.25">
      <c r="B16" s="859"/>
      <c r="C16" s="480" t="s">
        <v>540</v>
      </c>
      <c r="D16" s="459">
        <v>0</v>
      </c>
      <c r="E16" s="459">
        <v>0</v>
      </c>
      <c r="F16" s="459">
        <v>0</v>
      </c>
      <c r="G16" s="459">
        <v>1</v>
      </c>
      <c r="H16" s="459">
        <v>11</v>
      </c>
      <c r="I16" s="459">
        <v>12</v>
      </c>
      <c r="J16" s="459">
        <v>12</v>
      </c>
      <c r="K16" s="459">
        <v>8</v>
      </c>
      <c r="L16" s="481">
        <v>0</v>
      </c>
      <c r="M16" s="481">
        <v>0</v>
      </c>
      <c r="N16" s="481">
        <v>0</v>
      </c>
      <c r="O16" s="481">
        <v>0.111</v>
      </c>
    </row>
    <row r="17" spans="2:15" ht="22.5" customHeight="1" thickBot="1" x14ac:dyDescent="0.25">
      <c r="B17" s="859"/>
      <c r="C17" s="480" t="s">
        <v>541</v>
      </c>
      <c r="D17" s="459">
        <v>1</v>
      </c>
      <c r="E17" s="459">
        <v>0</v>
      </c>
      <c r="F17" s="459">
        <v>0</v>
      </c>
      <c r="G17" s="459">
        <v>0</v>
      </c>
      <c r="H17" s="459">
        <v>6</v>
      </c>
      <c r="I17" s="459">
        <v>2</v>
      </c>
      <c r="J17" s="459">
        <v>0</v>
      </c>
      <c r="K17" s="459">
        <v>2</v>
      </c>
      <c r="L17" s="481">
        <v>0.14299999999999999</v>
      </c>
      <c r="M17" s="481">
        <v>0</v>
      </c>
      <c r="N17" s="481">
        <v>0</v>
      </c>
      <c r="O17" s="481">
        <v>0</v>
      </c>
    </row>
    <row r="18" spans="2:15" ht="22.5" customHeight="1" thickBot="1" x14ac:dyDescent="0.25">
      <c r="B18" s="859"/>
      <c r="C18" s="480" t="s">
        <v>542</v>
      </c>
      <c r="D18" s="459">
        <v>5</v>
      </c>
      <c r="E18" s="459">
        <v>4</v>
      </c>
      <c r="F18" s="459">
        <v>5</v>
      </c>
      <c r="G18" s="459">
        <v>3</v>
      </c>
      <c r="H18" s="459">
        <v>9</v>
      </c>
      <c r="I18" s="459">
        <v>11</v>
      </c>
      <c r="J18" s="459">
        <v>10</v>
      </c>
      <c r="K18" s="459">
        <v>8</v>
      </c>
      <c r="L18" s="482">
        <v>0.35699999999999998</v>
      </c>
      <c r="M18" s="481">
        <v>0.26700000000000002</v>
      </c>
      <c r="N18" s="482">
        <v>0.33300000000000002</v>
      </c>
      <c r="O18" s="483">
        <v>0.27300000000000002</v>
      </c>
    </row>
    <row r="19" spans="2:15" ht="22.5" customHeight="1" thickBot="1" x14ac:dyDescent="0.25">
      <c r="B19" s="859"/>
      <c r="C19" s="480" t="s">
        <v>543</v>
      </c>
      <c r="D19" s="459">
        <v>0</v>
      </c>
      <c r="E19" s="459">
        <v>0</v>
      </c>
      <c r="F19" s="459">
        <v>0</v>
      </c>
      <c r="G19" s="459">
        <v>1</v>
      </c>
      <c r="H19" s="459">
        <v>0</v>
      </c>
      <c r="I19" s="459">
        <v>3</v>
      </c>
      <c r="J19" s="459">
        <v>3</v>
      </c>
      <c r="K19" s="459">
        <v>4</v>
      </c>
      <c r="L19" s="481">
        <v>0</v>
      </c>
      <c r="M19" s="481">
        <v>0</v>
      </c>
      <c r="N19" s="481">
        <v>0</v>
      </c>
      <c r="O19" s="481">
        <v>0.2</v>
      </c>
    </row>
    <row r="20" spans="2:15" ht="22.5" customHeight="1" thickBot="1" x14ac:dyDescent="0.25">
      <c r="B20" s="859"/>
      <c r="C20" s="480" t="s">
        <v>544</v>
      </c>
      <c r="D20" s="459">
        <v>0</v>
      </c>
      <c r="E20" s="459">
        <v>0</v>
      </c>
      <c r="F20" s="459">
        <v>0</v>
      </c>
      <c r="G20" s="459">
        <v>0</v>
      </c>
      <c r="H20" s="459">
        <v>1</v>
      </c>
      <c r="I20" s="459">
        <v>0</v>
      </c>
      <c r="J20" s="459">
        <v>0</v>
      </c>
      <c r="K20" s="459">
        <v>0</v>
      </c>
      <c r="L20" s="481">
        <v>0</v>
      </c>
      <c r="M20" s="481">
        <v>0</v>
      </c>
      <c r="N20" s="481">
        <v>0</v>
      </c>
      <c r="O20" s="481">
        <v>0</v>
      </c>
    </row>
    <row r="21" spans="2:15" ht="22.5" customHeight="1" thickBot="1" x14ac:dyDescent="0.25">
      <c r="B21" s="859"/>
      <c r="C21" s="480" t="s">
        <v>545</v>
      </c>
      <c r="D21" s="459">
        <v>0</v>
      </c>
      <c r="E21" s="459">
        <v>0</v>
      </c>
      <c r="F21" s="459">
        <v>0</v>
      </c>
      <c r="G21" s="459">
        <v>0</v>
      </c>
      <c r="H21" s="459">
        <v>1</v>
      </c>
      <c r="I21" s="459">
        <v>1</v>
      </c>
      <c r="J21" s="459">
        <v>1</v>
      </c>
      <c r="K21" s="459">
        <v>1</v>
      </c>
      <c r="L21" s="481">
        <v>0</v>
      </c>
      <c r="M21" s="481">
        <v>0</v>
      </c>
      <c r="N21" s="481">
        <v>0</v>
      </c>
      <c r="O21" s="481">
        <v>0</v>
      </c>
    </row>
    <row r="22" spans="2:15" ht="22.5" customHeight="1" thickBot="1" x14ac:dyDescent="0.25">
      <c r="B22" s="860"/>
      <c r="C22" s="480" t="s">
        <v>546</v>
      </c>
      <c r="D22" s="459">
        <v>1</v>
      </c>
      <c r="E22" s="459">
        <v>1</v>
      </c>
      <c r="F22" s="459">
        <v>1</v>
      </c>
      <c r="G22" s="459">
        <v>1</v>
      </c>
      <c r="H22" s="459">
        <v>8</v>
      </c>
      <c r="I22" s="459">
        <v>5</v>
      </c>
      <c r="J22" s="459">
        <v>5</v>
      </c>
      <c r="K22" s="459">
        <v>5</v>
      </c>
      <c r="L22" s="481">
        <v>0.111</v>
      </c>
      <c r="M22" s="481">
        <v>0.16700000000000001</v>
      </c>
      <c r="N22" s="481">
        <v>0.16700000000000001</v>
      </c>
      <c r="O22" s="481">
        <v>0.16700000000000001</v>
      </c>
    </row>
    <row r="23" spans="2:15" ht="22.5" customHeight="1" thickBot="1" x14ac:dyDescent="0.25">
      <c r="B23" s="861" t="s">
        <v>547</v>
      </c>
      <c r="C23" s="457" t="s">
        <v>265</v>
      </c>
      <c r="D23" s="460">
        <v>6</v>
      </c>
      <c r="E23" s="460">
        <v>8</v>
      </c>
      <c r="F23" s="460">
        <v>8</v>
      </c>
      <c r="G23" s="460">
        <v>7</v>
      </c>
      <c r="H23" s="460">
        <v>29</v>
      </c>
      <c r="I23" s="460">
        <v>27</v>
      </c>
      <c r="J23" s="460">
        <v>28</v>
      </c>
      <c r="K23" s="460">
        <v>27</v>
      </c>
      <c r="L23" s="479">
        <v>0.17100000000000001</v>
      </c>
      <c r="M23" s="479">
        <v>0.22900000000000001</v>
      </c>
      <c r="N23" s="479">
        <v>0.222</v>
      </c>
      <c r="O23" s="479">
        <v>0.20599999999999999</v>
      </c>
    </row>
    <row r="24" spans="2:15" ht="22.5" customHeight="1" thickBot="1" x14ac:dyDescent="0.25">
      <c r="B24" s="859"/>
      <c r="C24" s="480" t="s">
        <v>538</v>
      </c>
      <c r="D24" s="459">
        <v>2</v>
      </c>
      <c r="E24" s="459">
        <v>4</v>
      </c>
      <c r="F24" s="459">
        <v>3</v>
      </c>
      <c r="G24" s="459">
        <v>2</v>
      </c>
      <c r="H24" s="459">
        <v>16</v>
      </c>
      <c r="I24" s="459">
        <v>13</v>
      </c>
      <c r="J24" s="459">
        <v>13</v>
      </c>
      <c r="K24" s="459">
        <v>11</v>
      </c>
      <c r="L24" s="481">
        <v>0.111</v>
      </c>
      <c r="M24" s="481">
        <v>0.23499999999999999</v>
      </c>
      <c r="N24" s="481">
        <v>0.188</v>
      </c>
      <c r="O24" s="481">
        <v>0.154</v>
      </c>
    </row>
    <row r="25" spans="2:15" ht="22.5" customHeight="1" thickBot="1" x14ac:dyDescent="0.25">
      <c r="B25" s="859"/>
      <c r="C25" s="480" t="s">
        <v>539</v>
      </c>
      <c r="D25" s="459">
        <v>0</v>
      </c>
      <c r="E25" s="459">
        <v>0</v>
      </c>
      <c r="F25" s="459">
        <v>0</v>
      </c>
      <c r="G25" s="459">
        <v>1</v>
      </c>
      <c r="H25" s="459">
        <v>1</v>
      </c>
      <c r="I25" s="459">
        <v>2</v>
      </c>
      <c r="J25" s="459">
        <v>2</v>
      </c>
      <c r="K25" s="459">
        <v>3</v>
      </c>
      <c r="L25" s="481">
        <v>0</v>
      </c>
      <c r="M25" s="481">
        <v>0</v>
      </c>
      <c r="N25" s="481">
        <v>0</v>
      </c>
      <c r="O25" s="481">
        <v>0.25</v>
      </c>
    </row>
    <row r="26" spans="2:15" ht="22.5" customHeight="1" thickBot="1" x14ac:dyDescent="0.25">
      <c r="B26" s="859"/>
      <c r="C26" s="480" t="s">
        <v>548</v>
      </c>
      <c r="D26" s="459">
        <v>0</v>
      </c>
      <c r="E26" s="459">
        <v>0</v>
      </c>
      <c r="F26" s="459">
        <v>0</v>
      </c>
      <c r="G26" s="459">
        <v>0</v>
      </c>
      <c r="H26" s="459">
        <v>1</v>
      </c>
      <c r="I26" s="459">
        <v>1</v>
      </c>
      <c r="J26" s="459">
        <v>1</v>
      </c>
      <c r="K26" s="459">
        <v>1</v>
      </c>
      <c r="L26" s="481">
        <v>0</v>
      </c>
      <c r="M26" s="481">
        <v>0</v>
      </c>
      <c r="N26" s="481">
        <v>0</v>
      </c>
      <c r="O26" s="481">
        <v>0</v>
      </c>
    </row>
    <row r="27" spans="2:15" ht="22.5" customHeight="1" thickBot="1" x14ac:dyDescent="0.25">
      <c r="B27" s="859"/>
      <c r="C27" s="480" t="s">
        <v>540</v>
      </c>
      <c r="D27" s="459">
        <v>0</v>
      </c>
      <c r="E27" s="459">
        <v>0</v>
      </c>
      <c r="F27" s="459">
        <v>0</v>
      </c>
      <c r="G27" s="459">
        <v>0</v>
      </c>
      <c r="H27" s="459">
        <v>2</v>
      </c>
      <c r="I27" s="459">
        <v>2</v>
      </c>
      <c r="J27" s="459">
        <v>1</v>
      </c>
      <c r="K27" s="459">
        <v>1</v>
      </c>
      <c r="L27" s="481">
        <v>0</v>
      </c>
      <c r="M27" s="481">
        <v>0</v>
      </c>
      <c r="N27" s="481">
        <v>0</v>
      </c>
      <c r="O27" s="481">
        <v>0</v>
      </c>
    </row>
    <row r="28" spans="2:15" ht="22.5" customHeight="1" thickBot="1" x14ac:dyDescent="0.25">
      <c r="B28" s="859"/>
      <c r="C28" s="480" t="s">
        <v>541</v>
      </c>
      <c r="D28" s="459">
        <v>1</v>
      </c>
      <c r="E28" s="459">
        <v>1</v>
      </c>
      <c r="F28" s="459">
        <v>1</v>
      </c>
      <c r="G28" s="459">
        <v>0</v>
      </c>
      <c r="H28" s="459">
        <v>1</v>
      </c>
      <c r="I28" s="459">
        <v>0</v>
      </c>
      <c r="J28" s="459">
        <v>1</v>
      </c>
      <c r="K28" s="459">
        <v>1</v>
      </c>
      <c r="L28" s="482">
        <v>0.5</v>
      </c>
      <c r="M28" s="482">
        <v>1</v>
      </c>
      <c r="N28" s="482">
        <v>0.5</v>
      </c>
      <c r="O28" s="481">
        <v>0</v>
      </c>
    </row>
    <row r="29" spans="2:15" ht="22.5" customHeight="1" thickBot="1" x14ac:dyDescent="0.25">
      <c r="B29" s="859"/>
      <c r="C29" s="480" t="s">
        <v>542</v>
      </c>
      <c r="D29" s="459">
        <v>2</v>
      </c>
      <c r="E29" s="459">
        <v>2</v>
      </c>
      <c r="F29" s="459">
        <v>2</v>
      </c>
      <c r="G29" s="459">
        <v>1</v>
      </c>
      <c r="H29" s="459">
        <v>3</v>
      </c>
      <c r="I29" s="459">
        <v>2</v>
      </c>
      <c r="J29" s="459">
        <v>2</v>
      </c>
      <c r="K29" s="459">
        <v>2</v>
      </c>
      <c r="L29" s="482">
        <v>0.4</v>
      </c>
      <c r="M29" s="482">
        <v>0.5</v>
      </c>
      <c r="N29" s="482">
        <v>0.5</v>
      </c>
      <c r="O29" s="482">
        <v>0.33300000000000002</v>
      </c>
    </row>
    <row r="30" spans="2:15" ht="22.5" customHeight="1" thickBot="1" x14ac:dyDescent="0.25">
      <c r="B30" s="859"/>
      <c r="C30" s="480" t="s">
        <v>543</v>
      </c>
      <c r="D30" s="459">
        <v>0</v>
      </c>
      <c r="E30" s="459">
        <v>0</v>
      </c>
      <c r="F30" s="459">
        <v>1</v>
      </c>
      <c r="G30" s="459">
        <v>2</v>
      </c>
      <c r="H30" s="459">
        <v>0</v>
      </c>
      <c r="I30" s="459">
        <v>3</v>
      </c>
      <c r="J30" s="459">
        <v>4</v>
      </c>
      <c r="K30" s="459">
        <v>4</v>
      </c>
      <c r="L30" s="481">
        <v>0</v>
      </c>
      <c r="M30" s="481">
        <v>0</v>
      </c>
      <c r="N30" s="481">
        <v>0.2</v>
      </c>
      <c r="O30" s="482">
        <v>0.33300000000000002</v>
      </c>
    </row>
    <row r="31" spans="2:15" ht="22.5" customHeight="1" thickBot="1" x14ac:dyDescent="0.25">
      <c r="B31" s="862"/>
      <c r="C31" s="480" t="s">
        <v>546</v>
      </c>
      <c r="D31" s="459">
        <v>1</v>
      </c>
      <c r="E31" s="459">
        <v>1</v>
      </c>
      <c r="F31" s="459">
        <v>1</v>
      </c>
      <c r="G31" s="459">
        <v>1</v>
      </c>
      <c r="H31" s="459">
        <v>5</v>
      </c>
      <c r="I31" s="459">
        <v>4</v>
      </c>
      <c r="J31" s="459">
        <v>4</v>
      </c>
      <c r="K31" s="459">
        <v>4</v>
      </c>
      <c r="L31" s="481">
        <v>0.16700000000000001</v>
      </c>
      <c r="M31" s="481">
        <v>0.2</v>
      </c>
      <c r="N31" s="481">
        <v>0.2</v>
      </c>
      <c r="O31" s="481">
        <v>0.2</v>
      </c>
    </row>
    <row r="32" spans="2:15" ht="22.5" customHeight="1" thickBot="1" x14ac:dyDescent="0.25">
      <c r="B32" s="858" t="s">
        <v>549</v>
      </c>
      <c r="C32" s="457" t="s">
        <v>265</v>
      </c>
      <c r="D32" s="460">
        <v>21</v>
      </c>
      <c r="E32" s="460">
        <v>26</v>
      </c>
      <c r="F32" s="460">
        <v>25</v>
      </c>
      <c r="G32" s="460">
        <v>26</v>
      </c>
      <c r="H32" s="460">
        <v>64</v>
      </c>
      <c r="I32" s="460">
        <v>58</v>
      </c>
      <c r="J32" s="460">
        <v>59</v>
      </c>
      <c r="K32" s="460">
        <v>66</v>
      </c>
      <c r="L32" s="479">
        <v>0.247</v>
      </c>
      <c r="M32" s="484">
        <v>0.31</v>
      </c>
      <c r="N32" s="485">
        <v>0.29799999999999999</v>
      </c>
      <c r="O32" s="485">
        <v>0.28299999999999997</v>
      </c>
    </row>
    <row r="33" spans="2:15" ht="22.5" customHeight="1" thickBot="1" x14ac:dyDescent="0.25">
      <c r="B33" s="859"/>
      <c r="C33" s="480" t="s">
        <v>538</v>
      </c>
      <c r="D33" s="459">
        <v>6</v>
      </c>
      <c r="E33" s="459">
        <v>12</v>
      </c>
      <c r="F33" s="459">
        <v>11</v>
      </c>
      <c r="G33" s="459">
        <v>11</v>
      </c>
      <c r="H33" s="459">
        <v>17</v>
      </c>
      <c r="I33" s="459">
        <v>14</v>
      </c>
      <c r="J33" s="459">
        <v>17</v>
      </c>
      <c r="K33" s="459">
        <v>22</v>
      </c>
      <c r="L33" s="481">
        <v>0.26100000000000001</v>
      </c>
      <c r="M33" s="482">
        <v>0.46200000000000002</v>
      </c>
      <c r="N33" s="482">
        <v>0.39300000000000002</v>
      </c>
      <c r="O33" s="482">
        <v>0.33300000000000002</v>
      </c>
    </row>
    <row r="34" spans="2:15" ht="22.5" customHeight="1" thickBot="1" x14ac:dyDescent="0.25">
      <c r="B34" s="859"/>
      <c r="C34" s="480" t="s">
        <v>540</v>
      </c>
      <c r="D34" s="459">
        <v>1</v>
      </c>
      <c r="E34" s="459">
        <v>1</v>
      </c>
      <c r="F34" s="459">
        <v>1</v>
      </c>
      <c r="G34" s="459">
        <v>1</v>
      </c>
      <c r="H34" s="459">
        <v>1</v>
      </c>
      <c r="I34" s="459">
        <v>1</v>
      </c>
      <c r="J34" s="459">
        <v>0</v>
      </c>
      <c r="K34" s="459">
        <v>0</v>
      </c>
      <c r="L34" s="482">
        <v>0.5</v>
      </c>
      <c r="M34" s="482">
        <v>0.5</v>
      </c>
      <c r="N34" s="482">
        <v>1</v>
      </c>
      <c r="O34" s="482">
        <v>1</v>
      </c>
    </row>
    <row r="35" spans="2:15" ht="22.5" customHeight="1" thickBot="1" x14ac:dyDescent="0.25">
      <c r="B35" s="859"/>
      <c r="C35" s="480" t="s">
        <v>540</v>
      </c>
      <c r="D35" s="459">
        <v>0</v>
      </c>
      <c r="E35" s="459">
        <v>0</v>
      </c>
      <c r="F35" s="459">
        <v>0</v>
      </c>
      <c r="G35" s="459">
        <v>0</v>
      </c>
      <c r="H35" s="459">
        <v>17</v>
      </c>
      <c r="I35" s="459">
        <v>15</v>
      </c>
      <c r="J35" s="459">
        <v>13</v>
      </c>
      <c r="K35" s="459">
        <v>12</v>
      </c>
      <c r="L35" s="481">
        <v>0</v>
      </c>
      <c r="M35" s="481">
        <v>0</v>
      </c>
      <c r="N35" s="481">
        <v>0</v>
      </c>
      <c r="O35" s="481">
        <v>0</v>
      </c>
    </row>
    <row r="36" spans="2:15" ht="22.5" customHeight="1" thickBot="1" x14ac:dyDescent="0.25">
      <c r="B36" s="859"/>
      <c r="C36" s="480" t="s">
        <v>541</v>
      </c>
      <c r="D36" s="459">
        <v>0</v>
      </c>
      <c r="E36" s="459">
        <v>0</v>
      </c>
      <c r="F36" s="459">
        <v>0</v>
      </c>
      <c r="G36" s="459">
        <v>0</v>
      </c>
      <c r="H36" s="459">
        <v>1</v>
      </c>
      <c r="I36" s="459">
        <v>0</v>
      </c>
      <c r="J36" s="459">
        <v>2</v>
      </c>
      <c r="K36" s="459">
        <v>3</v>
      </c>
      <c r="L36" s="481">
        <v>0</v>
      </c>
      <c r="M36" s="481">
        <v>0</v>
      </c>
      <c r="N36" s="481">
        <v>0</v>
      </c>
      <c r="O36" s="481">
        <v>0</v>
      </c>
    </row>
    <row r="37" spans="2:15" ht="22.5" customHeight="1" thickBot="1" x14ac:dyDescent="0.25">
      <c r="B37" s="859"/>
      <c r="C37" s="480" t="s">
        <v>542</v>
      </c>
      <c r="D37" s="459">
        <v>3</v>
      </c>
      <c r="E37" s="459">
        <v>3</v>
      </c>
      <c r="F37" s="459">
        <v>1</v>
      </c>
      <c r="G37" s="459">
        <v>1</v>
      </c>
      <c r="H37" s="459">
        <v>5</v>
      </c>
      <c r="I37" s="459">
        <v>5</v>
      </c>
      <c r="J37" s="459">
        <v>5</v>
      </c>
      <c r="K37" s="459">
        <v>6</v>
      </c>
      <c r="L37" s="482">
        <v>0.375</v>
      </c>
      <c r="M37" s="482">
        <v>0.375</v>
      </c>
      <c r="N37" s="482">
        <v>0.16700000000000001</v>
      </c>
      <c r="O37" s="482">
        <v>0.14299999999999999</v>
      </c>
    </row>
    <row r="38" spans="2:15" ht="22.5" customHeight="1" thickBot="1" x14ac:dyDescent="0.25">
      <c r="B38" s="859"/>
      <c r="C38" s="480" t="s">
        <v>543</v>
      </c>
      <c r="D38" s="459">
        <v>0</v>
      </c>
      <c r="E38" s="459">
        <v>0</v>
      </c>
      <c r="F38" s="459">
        <v>1</v>
      </c>
      <c r="G38" s="459">
        <v>3</v>
      </c>
      <c r="H38" s="462"/>
      <c r="I38" s="462"/>
      <c r="J38" s="462"/>
      <c r="K38" s="462"/>
      <c r="L38" s="481">
        <v>0</v>
      </c>
      <c r="M38" s="481">
        <v>0</v>
      </c>
      <c r="N38" s="482">
        <v>1</v>
      </c>
      <c r="O38" s="482">
        <v>1</v>
      </c>
    </row>
    <row r="39" spans="2:15" ht="22.5" customHeight="1" thickBot="1" x14ac:dyDescent="0.25">
      <c r="B39" s="859"/>
      <c r="C39" s="480" t="s">
        <v>546</v>
      </c>
      <c r="D39" s="459">
        <v>10</v>
      </c>
      <c r="E39" s="459">
        <v>9</v>
      </c>
      <c r="F39" s="459">
        <v>10</v>
      </c>
      <c r="G39" s="459">
        <v>9</v>
      </c>
      <c r="H39" s="459">
        <v>22</v>
      </c>
      <c r="I39" s="459">
        <v>21</v>
      </c>
      <c r="J39" s="459">
        <v>21</v>
      </c>
      <c r="K39" s="459">
        <v>22</v>
      </c>
      <c r="L39" s="482">
        <v>0.313</v>
      </c>
      <c r="M39" s="482">
        <v>0.3</v>
      </c>
      <c r="N39" s="482">
        <v>0.32300000000000001</v>
      </c>
      <c r="O39" s="481">
        <v>0.28999999999999998</v>
      </c>
    </row>
    <row r="40" spans="2:15" ht="22.5" customHeight="1" thickBot="1" x14ac:dyDescent="0.25">
      <c r="B40" s="862"/>
      <c r="C40" s="480" t="s">
        <v>544</v>
      </c>
      <c r="D40" s="459">
        <v>1</v>
      </c>
      <c r="E40" s="459">
        <v>1</v>
      </c>
      <c r="F40" s="459">
        <v>1</v>
      </c>
      <c r="G40" s="459">
        <v>1</v>
      </c>
      <c r="H40" s="459">
        <v>1</v>
      </c>
      <c r="I40" s="459">
        <v>2</v>
      </c>
      <c r="J40" s="459">
        <v>1</v>
      </c>
      <c r="K40" s="459">
        <v>1</v>
      </c>
      <c r="L40" s="482">
        <v>0.5</v>
      </c>
      <c r="M40" s="482">
        <v>0.33300000000000002</v>
      </c>
      <c r="N40" s="482">
        <v>0.5</v>
      </c>
      <c r="O40" s="482">
        <v>0.5</v>
      </c>
    </row>
    <row r="41" spans="2:15" ht="22.5" customHeight="1" thickBot="1" x14ac:dyDescent="0.25">
      <c r="B41" s="858" t="s">
        <v>550</v>
      </c>
      <c r="C41" s="457" t="s">
        <v>265</v>
      </c>
      <c r="D41" s="460">
        <v>30</v>
      </c>
      <c r="E41" s="460">
        <v>35</v>
      </c>
      <c r="F41" s="460">
        <v>32</v>
      </c>
      <c r="G41" s="460">
        <v>38</v>
      </c>
      <c r="H41" s="460">
        <v>47</v>
      </c>
      <c r="I41" s="460">
        <v>50</v>
      </c>
      <c r="J41" s="460">
        <v>46</v>
      </c>
      <c r="K41" s="460">
        <v>56</v>
      </c>
      <c r="L41" s="486">
        <v>0.39</v>
      </c>
      <c r="M41" s="486">
        <v>0.41199999999999998</v>
      </c>
      <c r="N41" s="486">
        <v>0.41</v>
      </c>
      <c r="O41" s="486">
        <v>0.40400000000000003</v>
      </c>
    </row>
    <row r="42" spans="2:15" ht="22.5" customHeight="1" thickBot="1" x14ac:dyDescent="0.25">
      <c r="B42" s="859"/>
      <c r="C42" s="480" t="s">
        <v>538</v>
      </c>
      <c r="D42" s="459">
        <v>12</v>
      </c>
      <c r="E42" s="459">
        <v>17</v>
      </c>
      <c r="F42" s="459">
        <v>12</v>
      </c>
      <c r="G42" s="459">
        <v>17</v>
      </c>
      <c r="H42" s="459">
        <v>8</v>
      </c>
      <c r="I42" s="459">
        <v>16</v>
      </c>
      <c r="J42" s="459">
        <v>10</v>
      </c>
      <c r="K42" s="459">
        <v>18</v>
      </c>
      <c r="L42" s="482">
        <v>0.6</v>
      </c>
      <c r="M42" s="482">
        <v>0.51500000000000001</v>
      </c>
      <c r="N42" s="482">
        <v>0.54500000000000004</v>
      </c>
      <c r="O42" s="482">
        <v>0.48599999999999999</v>
      </c>
    </row>
    <row r="43" spans="2:15" ht="22.5" customHeight="1" thickBot="1" x14ac:dyDescent="0.25">
      <c r="B43" s="859"/>
      <c r="C43" s="480" t="s">
        <v>539</v>
      </c>
      <c r="D43" s="459">
        <v>1</v>
      </c>
      <c r="E43" s="459">
        <v>1</v>
      </c>
      <c r="F43" s="459">
        <v>1</v>
      </c>
      <c r="G43" s="459">
        <v>1</v>
      </c>
      <c r="H43" s="459">
        <v>0</v>
      </c>
      <c r="I43" s="459">
        <v>0</v>
      </c>
      <c r="J43" s="459">
        <v>0</v>
      </c>
      <c r="K43" s="459">
        <v>0</v>
      </c>
      <c r="L43" s="482">
        <v>1</v>
      </c>
      <c r="M43" s="482">
        <v>1</v>
      </c>
      <c r="N43" s="482">
        <v>1</v>
      </c>
      <c r="O43" s="482">
        <v>1</v>
      </c>
    </row>
    <row r="44" spans="2:15" ht="22.5" customHeight="1" thickBot="1" x14ac:dyDescent="0.25">
      <c r="B44" s="859"/>
      <c r="C44" s="480" t="s">
        <v>540</v>
      </c>
      <c r="D44" s="459">
        <v>9</v>
      </c>
      <c r="E44" s="459">
        <v>8</v>
      </c>
      <c r="F44" s="459">
        <v>8</v>
      </c>
      <c r="G44" s="459">
        <v>9</v>
      </c>
      <c r="H44" s="459">
        <v>14</v>
      </c>
      <c r="I44" s="459">
        <v>12</v>
      </c>
      <c r="J44" s="459">
        <v>10</v>
      </c>
      <c r="K44" s="459">
        <v>10</v>
      </c>
      <c r="L44" s="482">
        <v>0.39100000000000001</v>
      </c>
      <c r="M44" s="482">
        <v>0.4</v>
      </c>
      <c r="N44" s="482">
        <v>0.44400000000000001</v>
      </c>
      <c r="O44" s="482">
        <v>0.47399999999999998</v>
      </c>
    </row>
    <row r="45" spans="2:15" ht="22.5" customHeight="1" thickBot="1" x14ac:dyDescent="0.25">
      <c r="B45" s="859"/>
      <c r="C45" s="480" t="s">
        <v>541</v>
      </c>
      <c r="D45" s="459">
        <v>0</v>
      </c>
      <c r="E45" s="459">
        <v>1</v>
      </c>
      <c r="F45" s="459">
        <v>1</v>
      </c>
      <c r="G45" s="459">
        <v>1</v>
      </c>
      <c r="H45" s="459">
        <v>3</v>
      </c>
      <c r="I45" s="459">
        <v>0</v>
      </c>
      <c r="J45" s="459">
        <v>1</v>
      </c>
      <c r="K45" s="459">
        <v>1</v>
      </c>
      <c r="L45" s="482">
        <v>0</v>
      </c>
      <c r="M45" s="482">
        <v>1</v>
      </c>
      <c r="N45" s="482">
        <v>0.5</v>
      </c>
      <c r="O45" s="482">
        <v>0.5</v>
      </c>
    </row>
    <row r="46" spans="2:15" ht="22.5" customHeight="1" thickBot="1" x14ac:dyDescent="0.25">
      <c r="B46" s="859"/>
      <c r="C46" s="480" t="s">
        <v>542</v>
      </c>
      <c r="D46" s="459">
        <v>3</v>
      </c>
      <c r="E46" s="459">
        <v>3</v>
      </c>
      <c r="F46" s="459">
        <v>4</v>
      </c>
      <c r="G46" s="459">
        <v>5</v>
      </c>
      <c r="H46" s="459">
        <v>11</v>
      </c>
      <c r="I46" s="459">
        <v>11</v>
      </c>
      <c r="J46" s="459">
        <v>12</v>
      </c>
      <c r="K46" s="459">
        <v>15</v>
      </c>
      <c r="L46" s="481">
        <v>0.214</v>
      </c>
      <c r="M46" s="481">
        <v>0.214</v>
      </c>
      <c r="N46" s="481">
        <v>0.25</v>
      </c>
      <c r="O46" s="481">
        <v>0.25</v>
      </c>
    </row>
    <row r="47" spans="2:15" ht="22.5" customHeight="1" thickBot="1" x14ac:dyDescent="0.25">
      <c r="B47" s="859"/>
      <c r="C47" s="480" t="s">
        <v>543</v>
      </c>
      <c r="D47" s="459">
        <v>0</v>
      </c>
      <c r="E47" s="459">
        <v>0</v>
      </c>
      <c r="F47" s="459">
        <v>0</v>
      </c>
      <c r="G47" s="459">
        <v>0</v>
      </c>
      <c r="H47" s="459">
        <v>0</v>
      </c>
      <c r="I47" s="459">
        <v>0</v>
      </c>
      <c r="J47" s="459">
        <v>1</v>
      </c>
      <c r="K47" s="459">
        <v>1</v>
      </c>
      <c r="L47" s="482">
        <v>0</v>
      </c>
      <c r="M47" s="482">
        <v>0</v>
      </c>
      <c r="N47" s="482">
        <v>0</v>
      </c>
      <c r="O47" s="482">
        <v>0</v>
      </c>
    </row>
    <row r="48" spans="2:15" ht="22.5" customHeight="1" thickBot="1" x14ac:dyDescent="0.25">
      <c r="B48" s="862"/>
      <c r="C48" s="480" t="s">
        <v>546</v>
      </c>
      <c r="D48" s="459">
        <v>5</v>
      </c>
      <c r="E48" s="459">
        <v>5</v>
      </c>
      <c r="F48" s="459">
        <v>6</v>
      </c>
      <c r="G48" s="459">
        <v>5</v>
      </c>
      <c r="H48" s="459">
        <v>11</v>
      </c>
      <c r="I48" s="459">
        <v>11</v>
      </c>
      <c r="J48" s="459">
        <v>12</v>
      </c>
      <c r="K48" s="459">
        <v>11</v>
      </c>
      <c r="L48" s="482">
        <v>0.313</v>
      </c>
      <c r="M48" s="482">
        <v>0.313</v>
      </c>
      <c r="N48" s="482">
        <v>0.33300000000000002</v>
      </c>
      <c r="O48" s="482">
        <v>0.313</v>
      </c>
    </row>
    <row r="50" spans="2:11" ht="22.5" customHeight="1" thickBot="1" x14ac:dyDescent="0.25">
      <c r="B50" s="125"/>
      <c r="D50" s="336" t="s">
        <v>227</v>
      </c>
      <c r="E50" s="336" t="s">
        <v>228</v>
      </c>
      <c r="F50" s="336" t="s">
        <v>229</v>
      </c>
      <c r="G50" s="264"/>
      <c r="H50" s="125"/>
      <c r="I50" s="125"/>
      <c r="J50" s="125"/>
      <c r="K50" s="264"/>
    </row>
    <row r="51" spans="2:11" ht="22.5" customHeight="1" x14ac:dyDescent="0.2">
      <c r="B51" s="863" t="s">
        <v>551</v>
      </c>
      <c r="C51" s="265" t="s">
        <v>247</v>
      </c>
      <c r="D51" s="260">
        <v>0.128</v>
      </c>
      <c r="E51" s="260">
        <v>0.128</v>
      </c>
      <c r="F51" s="260">
        <v>0.192</v>
      </c>
      <c r="G51" s="264"/>
      <c r="H51" s="125"/>
      <c r="I51" s="125"/>
      <c r="J51" s="125"/>
      <c r="K51" s="264"/>
    </row>
    <row r="52" spans="2:11" ht="22.5" customHeight="1" x14ac:dyDescent="0.2">
      <c r="B52" s="863"/>
      <c r="C52" s="266" t="s">
        <v>254</v>
      </c>
      <c r="D52" s="262">
        <v>0.36199999999999999</v>
      </c>
      <c r="E52" s="262">
        <v>0.36199999999999999</v>
      </c>
      <c r="F52" s="262">
        <v>0.40400000000000003</v>
      </c>
      <c r="G52" s="264"/>
      <c r="H52" s="125"/>
      <c r="I52" s="125"/>
      <c r="J52" s="125"/>
      <c r="K52" s="264"/>
    </row>
    <row r="53" spans="2:11" ht="22.5" customHeight="1" x14ac:dyDescent="0.2">
      <c r="B53" s="863"/>
      <c r="C53" s="266" t="s">
        <v>252</v>
      </c>
      <c r="D53" s="262">
        <v>0.14799999999999999</v>
      </c>
      <c r="E53" s="262">
        <v>0.14799999999999999</v>
      </c>
      <c r="F53" s="262">
        <v>0.28299999999999997</v>
      </c>
      <c r="G53" s="264"/>
      <c r="H53" s="125"/>
      <c r="I53" s="125"/>
      <c r="J53" s="125"/>
      <c r="K53" s="264"/>
    </row>
    <row r="54" spans="2:11" ht="22.5" customHeight="1" x14ac:dyDescent="0.2">
      <c r="B54" s="863"/>
      <c r="C54" s="267" t="s">
        <v>250</v>
      </c>
      <c r="D54" s="262">
        <v>0.27300000000000002</v>
      </c>
      <c r="E54" s="262">
        <v>0.27300000000000002</v>
      </c>
      <c r="F54" s="262">
        <v>0.20599999999999999</v>
      </c>
      <c r="G54" s="264"/>
      <c r="H54" s="125"/>
      <c r="I54" s="125"/>
      <c r="J54" s="125"/>
      <c r="K54" s="264"/>
    </row>
    <row r="55" spans="2:11" ht="22.5" customHeight="1" x14ac:dyDescent="0.2">
      <c r="C55" s="225" t="s">
        <v>231</v>
      </c>
      <c r="D55" s="135">
        <v>0.3</v>
      </c>
      <c r="E55" s="135">
        <v>0.3</v>
      </c>
      <c r="F55" s="135">
        <v>0.3</v>
      </c>
      <c r="G55" s="195" t="s">
        <v>172</v>
      </c>
      <c r="H55" s="13"/>
      <c r="I55" s="13"/>
      <c r="J55" s="13"/>
      <c r="K55" s="195"/>
    </row>
    <row r="56" spans="2:11" ht="22.5" customHeight="1" x14ac:dyDescent="0.2">
      <c r="B56" s="14"/>
      <c r="C56" s="225" t="s">
        <v>552</v>
      </c>
      <c r="D56" s="12">
        <f>COUNTIF(D51:D54,"&gt;=30%")</f>
        <v>1</v>
      </c>
      <c r="E56" s="12">
        <f>COUNTIF(E51:E54,"&gt;=30%")</f>
        <v>1</v>
      </c>
      <c r="F56" s="12">
        <f>COUNTIF(F51:F54,"&gt;=30%")</f>
        <v>1</v>
      </c>
      <c r="G56" s="13" t="s">
        <v>172</v>
      </c>
      <c r="H56" s="13" t="s">
        <v>172</v>
      </c>
      <c r="I56" s="13" t="s">
        <v>172</v>
      </c>
      <c r="J56" s="13" t="s">
        <v>172</v>
      </c>
      <c r="K56" s="13" t="s">
        <v>172</v>
      </c>
    </row>
    <row r="57" spans="2:11" ht="22.5" customHeight="1" x14ac:dyDescent="0.2">
      <c r="B57" s="14"/>
      <c r="C57" s="225" t="s">
        <v>265</v>
      </c>
      <c r="D57" s="12">
        <f>COUNT(D51:D54)</f>
        <v>4</v>
      </c>
      <c r="E57" s="12">
        <f>COUNT(E51:E54)</f>
        <v>4</v>
      </c>
      <c r="F57" s="12">
        <f>COUNT(F51:F54)</f>
        <v>4</v>
      </c>
      <c r="G57" s="13" t="s">
        <v>172</v>
      </c>
      <c r="H57" s="13" t="s">
        <v>172</v>
      </c>
      <c r="I57" s="13" t="s">
        <v>172</v>
      </c>
      <c r="J57" s="13" t="s">
        <v>172</v>
      </c>
      <c r="K57" s="13" t="s">
        <v>172</v>
      </c>
    </row>
    <row r="58" spans="2:11" ht="22.5" customHeight="1" x14ac:dyDescent="0.2">
      <c r="B58" s="14"/>
      <c r="C58" s="225" t="s">
        <v>553</v>
      </c>
      <c r="D58" s="228">
        <v>0.22770000000000001</v>
      </c>
      <c r="E58" s="228">
        <v>0.22770000000000001</v>
      </c>
      <c r="F58" s="228">
        <v>0.2712</v>
      </c>
      <c r="G58" s="263" t="s">
        <v>172</v>
      </c>
      <c r="H58" s="195" t="s">
        <v>172</v>
      </c>
      <c r="I58" s="195" t="s">
        <v>172</v>
      </c>
      <c r="J58" s="195" t="s">
        <v>172</v>
      </c>
      <c r="K58" s="263" t="s">
        <v>172</v>
      </c>
    </row>
    <row r="59" spans="2:11" ht="22.5" customHeight="1" x14ac:dyDescent="0.2">
      <c r="B59" s="14"/>
      <c r="C59" s="13"/>
      <c r="D59" s="13"/>
      <c r="E59" s="13"/>
      <c r="F59" s="13"/>
      <c r="G59" s="13"/>
      <c r="H59" s="13"/>
      <c r="I59" s="13"/>
      <c r="J59" s="13"/>
      <c r="K59" s="13"/>
    </row>
    <row r="60" spans="2:11" ht="22.5" customHeight="1" x14ac:dyDescent="0.2">
      <c r="B60" s="14"/>
      <c r="C60" s="13"/>
      <c r="D60" s="13"/>
      <c r="E60" s="13"/>
      <c r="F60" s="13"/>
      <c r="G60" s="13"/>
      <c r="H60" s="13"/>
      <c r="I60" s="13"/>
      <c r="J60" s="13"/>
      <c r="K60" s="13"/>
    </row>
    <row r="61" spans="2:11" ht="22.5" customHeight="1" x14ac:dyDescent="0.2">
      <c r="B61" s="594" t="s">
        <v>233</v>
      </c>
      <c r="C61" s="595"/>
      <c r="D61" s="595"/>
      <c r="E61" s="596"/>
      <c r="F61" s="13"/>
      <c r="G61" s="13"/>
      <c r="H61" s="13"/>
      <c r="I61" s="13"/>
      <c r="J61" s="13"/>
      <c r="K61" s="13"/>
    </row>
    <row r="62" spans="2:11" ht="22.5" customHeight="1" x14ac:dyDescent="0.2">
      <c r="B62" s="21"/>
      <c r="C62" s="21"/>
      <c r="D62" s="21"/>
      <c r="E62" s="21"/>
      <c r="F62" s="21"/>
      <c r="G62" s="21"/>
      <c r="H62" s="766"/>
      <c r="I62" s="766"/>
      <c r="J62" s="766"/>
      <c r="K62" s="13"/>
    </row>
    <row r="63" spans="2:11" ht="22.5" customHeight="1" x14ac:dyDescent="0.2">
      <c r="B63" s="8"/>
      <c r="C63" s="8"/>
      <c r="D63" s="8"/>
      <c r="E63" s="8"/>
      <c r="F63" s="8"/>
      <c r="G63" s="8"/>
      <c r="H63" s="9"/>
      <c r="I63" s="9"/>
      <c r="J63" s="9"/>
      <c r="K63" s="9"/>
    </row>
    <row r="64" spans="2:11" ht="6" customHeight="1" x14ac:dyDescent="0.2">
      <c r="B64" s="8"/>
      <c r="C64" s="8"/>
      <c r="D64" s="8"/>
      <c r="E64" s="8"/>
      <c r="F64" s="8"/>
      <c r="G64" s="8"/>
      <c r="H64" s="684"/>
      <c r="I64" s="684"/>
      <c r="J64" s="684"/>
      <c r="K64" s="141"/>
    </row>
    <row r="65" spans="8:10" ht="19.5" customHeight="1" x14ac:dyDescent="0.2">
      <c r="H65" s="583"/>
      <c r="I65" s="583"/>
      <c r="J65" s="684"/>
    </row>
    <row r="66" spans="8:10" ht="19.5" customHeight="1" x14ac:dyDescent="0.2">
      <c r="H66" s="583"/>
      <c r="I66" s="583"/>
      <c r="J66" s="684"/>
    </row>
    <row r="67" spans="8:10" ht="19.5" customHeight="1" x14ac:dyDescent="0.2">
      <c r="H67" s="583"/>
      <c r="I67" s="583"/>
      <c r="J67" s="684"/>
    </row>
    <row r="68" spans="8:10" ht="19.5" customHeight="1" x14ac:dyDescent="0.2">
      <c r="H68" s="583"/>
      <c r="I68" s="583"/>
      <c r="J68" s="684"/>
    </row>
    <row r="69" spans="8:10" ht="19.5" customHeight="1" x14ac:dyDescent="0.2">
      <c r="H69" s="583"/>
      <c r="I69" s="583"/>
      <c r="J69" s="684"/>
    </row>
    <row r="70" spans="8:10" ht="19.5" customHeight="1" x14ac:dyDescent="0.2">
      <c r="H70" s="583"/>
      <c r="I70" s="583"/>
      <c r="J70" s="684"/>
    </row>
    <row r="71" spans="8:10" ht="19.5" customHeight="1" x14ac:dyDescent="0.2">
      <c r="H71" s="583"/>
      <c r="I71" s="583"/>
      <c r="J71" s="684"/>
    </row>
    <row r="72" spans="8:10" ht="19.5" customHeight="1" x14ac:dyDescent="0.2">
      <c r="H72" s="684"/>
      <c r="I72" s="684"/>
      <c r="J72" s="684"/>
    </row>
    <row r="73" spans="8:10" ht="19.5" customHeight="1" x14ac:dyDescent="0.2"/>
    <row r="74" spans="8:10" ht="19.5" customHeight="1" x14ac:dyDescent="0.2">
      <c r="H74" s="588" t="s">
        <v>172</v>
      </c>
      <c r="I74" s="589"/>
      <c r="J74" s="589"/>
    </row>
  </sheetData>
  <sheetProtection sheet="1" formatCells="0" formatColumns="0" formatRows="0" insertColumns="0" insertRows="0" insertHyperlinks="0" deleteColumns="0" deleteRows="0" pivotTables="0"/>
  <mergeCells count="30">
    <mergeCell ref="B2:D2"/>
    <mergeCell ref="E2:J2"/>
    <mergeCell ref="B4:C4"/>
    <mergeCell ref="D4:E4"/>
    <mergeCell ref="F4:G4"/>
    <mergeCell ref="H4:J4"/>
    <mergeCell ref="B5:C5"/>
    <mergeCell ref="D5:E5"/>
    <mergeCell ref="F5:G5"/>
    <mergeCell ref="H5:J5"/>
    <mergeCell ref="B6:C6"/>
    <mergeCell ref="D6:E6"/>
    <mergeCell ref="F6:G6"/>
    <mergeCell ref="H74:J74"/>
    <mergeCell ref="B61:E61"/>
    <mergeCell ref="B51:B54"/>
    <mergeCell ref="B7:C7"/>
    <mergeCell ref="D7:J7"/>
    <mergeCell ref="L11:O11"/>
    <mergeCell ref="B9:J9"/>
    <mergeCell ref="H62:J62"/>
    <mergeCell ref="H64:J72"/>
    <mergeCell ref="B11:B12"/>
    <mergeCell ref="C11:C12"/>
    <mergeCell ref="D11:G11"/>
    <mergeCell ref="H11:K11"/>
    <mergeCell ref="B13:B22"/>
    <mergeCell ref="B23:B31"/>
    <mergeCell ref="B32:B40"/>
    <mergeCell ref="B41:B48"/>
  </mergeCells>
  <pageMargins left="0.7" right="0.7" top="0.75" bottom="0.75" header="0" footer="0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2DA70-F284-42BF-AA0E-47D4D4E156AB}">
  <sheetPr>
    <tabColor theme="9" tint="-0.499984740745262"/>
    <pageSetUpPr fitToPage="1"/>
  </sheetPr>
  <dimension ref="B2:N49"/>
  <sheetViews>
    <sheetView showGridLines="0" topLeftCell="A35" workbookViewId="0">
      <selection activeCell="G35" sqref="G35"/>
    </sheetView>
  </sheetViews>
  <sheetFormatPr defaultColWidth="12.5703125" defaultRowHeight="15.75" customHeight="1" x14ac:dyDescent="0.2"/>
  <cols>
    <col min="1" max="1" width="3.42578125" customWidth="1"/>
    <col min="2" max="2" width="19" customWidth="1"/>
    <col min="3" max="3" width="12.5703125" customWidth="1"/>
    <col min="4" max="4" width="17.28515625" bestFit="1" customWidth="1"/>
    <col min="5" max="9" width="12.5703125" customWidth="1"/>
    <col min="10" max="10" width="36.28515625" customWidth="1"/>
    <col min="11" max="20" width="7.5703125" customWidth="1"/>
  </cols>
  <sheetData>
    <row r="2" spans="2:10" ht="55.5" customHeight="1" x14ac:dyDescent="0.2">
      <c r="B2" s="670"/>
      <c r="C2" s="671"/>
      <c r="D2" s="672"/>
      <c r="E2" s="673" t="s">
        <v>213</v>
      </c>
      <c r="F2" s="671"/>
      <c r="G2" s="671"/>
      <c r="H2" s="671"/>
      <c r="I2" s="671"/>
      <c r="J2" s="672"/>
    </row>
    <row r="3" spans="2:10" ht="22.5" customHeight="1" x14ac:dyDescent="0.2">
      <c r="B3" s="46"/>
      <c r="C3" s="46"/>
      <c r="D3" s="47"/>
      <c r="E3" s="47"/>
      <c r="F3" s="47"/>
      <c r="G3" s="47"/>
      <c r="H3" s="47"/>
      <c r="I3" s="47"/>
    </row>
    <row r="4" spans="2:10" ht="42" customHeight="1" x14ac:dyDescent="0.2">
      <c r="B4" s="594" t="s">
        <v>214</v>
      </c>
      <c r="C4" s="596"/>
      <c r="D4" s="674" t="str">
        <f>Índex!B57</f>
        <v xml:space="preserve">PS4.03_Ind02. </v>
      </c>
      <c r="E4" s="672"/>
      <c r="F4" s="594" t="s">
        <v>215</v>
      </c>
      <c r="G4" s="596"/>
      <c r="H4" s="674" t="str">
        <f>Índex!C57</f>
        <v>Percentatge d’hores de docència impartides per PDI amb títol de doctor (Graus)</v>
      </c>
      <c r="I4" s="671"/>
      <c r="J4" s="672"/>
    </row>
    <row r="5" spans="2:10" ht="22.5" customHeight="1" x14ac:dyDescent="0.2">
      <c r="B5" s="594" t="s">
        <v>323</v>
      </c>
      <c r="C5" s="596"/>
      <c r="D5" s="736" t="str">
        <f>Índex!F57</f>
        <v>≥ 70%</v>
      </c>
      <c r="E5" s="672"/>
      <c r="F5" s="732" t="s">
        <v>217</v>
      </c>
      <c r="G5" s="596"/>
      <c r="H5" s="775" t="s">
        <v>241</v>
      </c>
      <c r="I5" s="671"/>
      <c r="J5" s="636"/>
    </row>
    <row r="6" spans="2:10" ht="22.5" customHeight="1" x14ac:dyDescent="0.2">
      <c r="B6" s="594" t="s">
        <v>219</v>
      </c>
      <c r="C6" s="596"/>
      <c r="D6" s="674" t="s">
        <v>220</v>
      </c>
      <c r="E6" s="672"/>
      <c r="F6" s="594" t="s">
        <v>242</v>
      </c>
      <c r="G6" s="596"/>
      <c r="H6" s="12" t="str">
        <f>Índex!E57</f>
        <v>Gestora de Qualitat</v>
      </c>
      <c r="J6" s="19"/>
    </row>
    <row r="7" spans="2:10" ht="22.5" customHeight="1" x14ac:dyDescent="0.2">
      <c r="B7" s="594" t="s">
        <v>222</v>
      </c>
      <c r="C7" s="596"/>
      <c r="D7" s="674" t="str">
        <f>Índex!G57</f>
        <v xml:space="preserve">PS4.03. Gestió de la Política de PDI  </v>
      </c>
      <c r="E7" s="671"/>
      <c r="F7" s="671"/>
      <c r="G7" s="671"/>
      <c r="H7" s="671"/>
      <c r="I7" s="671"/>
      <c r="J7" s="672"/>
    </row>
    <row r="8" spans="2:10" ht="7.5" customHeight="1" x14ac:dyDescent="0.2"/>
    <row r="9" spans="2:10" ht="22.5" customHeight="1" x14ac:dyDescent="0.2">
      <c r="B9" s="594" t="s">
        <v>223</v>
      </c>
      <c r="C9" s="595"/>
      <c r="D9" s="595"/>
      <c r="E9" s="595"/>
      <c r="F9" s="595"/>
      <c r="G9" s="595"/>
      <c r="H9" s="595"/>
      <c r="I9" s="595"/>
      <c r="J9" s="596"/>
    </row>
    <row r="10" spans="2:10" ht="22.5" customHeight="1" x14ac:dyDescent="0.2">
      <c r="B10" s="14"/>
      <c r="C10" s="13"/>
      <c r="D10" s="13"/>
      <c r="E10" s="13"/>
      <c r="F10" s="13"/>
      <c r="G10" s="13"/>
      <c r="H10" s="13"/>
      <c r="I10" s="13"/>
      <c r="J10" s="13"/>
    </row>
    <row r="11" spans="2:10" ht="22.5" customHeight="1" x14ac:dyDescent="0.2"/>
    <row r="12" spans="2:10" ht="22.5" customHeight="1" thickBot="1" x14ac:dyDescent="0.25">
      <c r="B12" s="16"/>
      <c r="C12" s="16"/>
      <c r="D12" s="94" t="s">
        <v>224</v>
      </c>
      <c r="E12" s="94" t="s">
        <v>225</v>
      </c>
      <c r="F12" s="94" t="s">
        <v>226</v>
      </c>
      <c r="G12" s="94" t="s">
        <v>227</v>
      </c>
      <c r="H12" s="94" t="s">
        <v>228</v>
      </c>
      <c r="I12" s="94" t="s">
        <v>229</v>
      </c>
    </row>
    <row r="13" spans="2:10" ht="41.25" customHeight="1" thickBot="1" x14ac:dyDescent="0.25">
      <c r="B13" s="695" t="s">
        <v>244</v>
      </c>
      <c r="C13" s="695"/>
      <c r="D13" s="41">
        <v>0.86799999999999999</v>
      </c>
      <c r="E13" s="138">
        <v>0.79</v>
      </c>
      <c r="F13" s="138">
        <v>0.78</v>
      </c>
      <c r="G13" s="138">
        <v>0.76</v>
      </c>
      <c r="H13" s="38">
        <v>0.751</v>
      </c>
      <c r="I13" s="487">
        <v>0.74280000000000002</v>
      </c>
      <c r="J13" s="126"/>
    </row>
    <row r="14" spans="2:10" ht="41.25" customHeight="1" thickBot="1" x14ac:dyDescent="0.25">
      <c r="B14" s="695" t="s">
        <v>293</v>
      </c>
      <c r="C14" s="695"/>
      <c r="D14" s="57">
        <v>0.68</v>
      </c>
      <c r="E14" s="138">
        <v>0.71</v>
      </c>
      <c r="F14" s="138">
        <v>0.7</v>
      </c>
      <c r="G14" s="138">
        <v>0.7</v>
      </c>
      <c r="H14" s="38">
        <v>0.72189999999999999</v>
      </c>
      <c r="I14" s="489">
        <v>0.68240000000000001</v>
      </c>
      <c r="J14" s="126"/>
    </row>
    <row r="15" spans="2:10" ht="41.25" customHeight="1" thickBot="1" x14ac:dyDescent="0.25">
      <c r="B15" s="695" t="s">
        <v>250</v>
      </c>
      <c r="C15" s="695"/>
      <c r="D15" s="57">
        <v>0.85</v>
      </c>
      <c r="E15" s="138">
        <v>0.86</v>
      </c>
      <c r="F15" s="138">
        <v>0.82</v>
      </c>
      <c r="G15" s="138">
        <v>0.81</v>
      </c>
      <c r="H15" s="38">
        <v>0.78359999999999996</v>
      </c>
      <c r="I15" s="488">
        <v>0.87190000000000001</v>
      </c>
      <c r="J15" s="126"/>
    </row>
    <row r="16" spans="2:10" ht="41.25" customHeight="1" thickBot="1" x14ac:dyDescent="0.25">
      <c r="B16" s="695" t="s">
        <v>247</v>
      </c>
      <c r="C16" s="695"/>
      <c r="D16" s="57">
        <v>0.9</v>
      </c>
      <c r="E16" s="38">
        <v>0.90400000000000003</v>
      </c>
      <c r="F16" s="36" t="s">
        <v>304</v>
      </c>
      <c r="G16" s="138">
        <v>0.87</v>
      </c>
      <c r="H16" s="38">
        <v>0.89190000000000003</v>
      </c>
      <c r="I16" s="488">
        <v>0.90569999999999995</v>
      </c>
      <c r="J16" s="126"/>
    </row>
    <row r="17" spans="2:9" ht="41.25" customHeight="1" thickBot="1" x14ac:dyDescent="0.25">
      <c r="B17" s="695" t="s">
        <v>252</v>
      </c>
      <c r="C17" s="695"/>
      <c r="D17" s="57">
        <v>0.88</v>
      </c>
      <c r="E17" s="138">
        <v>0.94</v>
      </c>
      <c r="F17" s="138">
        <v>0.94</v>
      </c>
      <c r="G17" s="138">
        <v>0.95</v>
      </c>
      <c r="H17" s="38">
        <v>0.93440000000000001</v>
      </c>
      <c r="I17" s="488">
        <v>0.92849999999999999</v>
      </c>
    </row>
    <row r="18" spans="2:9" ht="41.25" customHeight="1" thickBot="1" x14ac:dyDescent="0.25">
      <c r="B18" s="695" t="s">
        <v>254</v>
      </c>
      <c r="C18" s="695"/>
      <c r="D18" s="57">
        <v>0.83</v>
      </c>
      <c r="E18" s="138">
        <v>0.83</v>
      </c>
      <c r="F18" s="138">
        <v>0.86</v>
      </c>
      <c r="G18" s="138">
        <v>0.81</v>
      </c>
      <c r="H18" s="38">
        <v>0.78129999999999999</v>
      </c>
      <c r="I18" s="488">
        <v>0.79469999999999996</v>
      </c>
    </row>
    <row r="19" spans="2:9" ht="41.25" customHeight="1" thickBot="1" x14ac:dyDescent="0.25">
      <c r="B19" s="695" t="s">
        <v>251</v>
      </c>
      <c r="C19" s="695"/>
      <c r="D19" s="102" t="s">
        <v>317</v>
      </c>
      <c r="E19" s="138">
        <v>1</v>
      </c>
      <c r="F19" s="138">
        <v>0.94</v>
      </c>
      <c r="G19" s="138">
        <v>0.88</v>
      </c>
      <c r="H19" s="38">
        <v>0.84130000000000005</v>
      </c>
      <c r="I19" s="488">
        <v>0.83340000000000003</v>
      </c>
    </row>
    <row r="20" spans="2:9" ht="41.25" customHeight="1" thickBot="1" x14ac:dyDescent="0.25">
      <c r="B20" s="695" t="s">
        <v>253</v>
      </c>
      <c r="C20" s="695"/>
      <c r="D20" s="57">
        <v>0.83</v>
      </c>
      <c r="E20" s="138">
        <v>0.81</v>
      </c>
      <c r="F20" s="138">
        <v>0.86</v>
      </c>
      <c r="G20" s="138">
        <v>0.84</v>
      </c>
      <c r="H20" s="138">
        <v>0.85</v>
      </c>
      <c r="I20" s="488">
        <v>0.83350000000000002</v>
      </c>
    </row>
    <row r="21" spans="2:9" ht="41.25" customHeight="1" thickBot="1" x14ac:dyDescent="0.25">
      <c r="B21" s="866" t="s">
        <v>554</v>
      </c>
      <c r="C21" s="866"/>
      <c r="D21" s="57">
        <v>0.86</v>
      </c>
      <c r="E21" s="138">
        <v>0.82</v>
      </c>
      <c r="F21" s="138">
        <v>0.79</v>
      </c>
      <c r="G21" s="139" t="s">
        <v>317</v>
      </c>
      <c r="H21" s="138">
        <v>0.75890000000000002</v>
      </c>
      <c r="I21" s="488">
        <v>0.80820000000000003</v>
      </c>
    </row>
    <row r="22" spans="2:9" ht="41.25" customHeight="1" thickBot="1" x14ac:dyDescent="0.25">
      <c r="B22" s="695" t="s">
        <v>337</v>
      </c>
      <c r="C22" s="695"/>
      <c r="D22" s="57">
        <v>0.96</v>
      </c>
      <c r="E22" s="138">
        <v>0.94</v>
      </c>
      <c r="F22" s="138">
        <v>0.94</v>
      </c>
      <c r="G22" s="138">
        <v>0.93</v>
      </c>
      <c r="H22" s="38">
        <v>0.80759999999999998</v>
      </c>
      <c r="I22" s="488">
        <v>0.84099999999999997</v>
      </c>
    </row>
    <row r="23" spans="2:9" ht="41.25" customHeight="1" thickBot="1" x14ac:dyDescent="0.25">
      <c r="B23" s="866" t="s">
        <v>248</v>
      </c>
      <c r="C23" s="866"/>
      <c r="D23" s="57">
        <v>0.85</v>
      </c>
      <c r="E23" s="138">
        <v>0.87</v>
      </c>
      <c r="F23" s="138">
        <v>0.9</v>
      </c>
      <c r="G23" s="139" t="s">
        <v>317</v>
      </c>
      <c r="H23" s="38">
        <v>0.93269999999999997</v>
      </c>
      <c r="I23" s="488">
        <v>0.92800000000000005</v>
      </c>
    </row>
    <row r="24" spans="2:9" ht="41.25" customHeight="1" thickBot="1" x14ac:dyDescent="0.25">
      <c r="B24" s="866" t="s">
        <v>249</v>
      </c>
      <c r="C24" s="866"/>
      <c r="D24" s="41">
        <v>0.91500000000000004</v>
      </c>
      <c r="E24" s="138">
        <v>0.88</v>
      </c>
      <c r="F24" s="138">
        <v>0.9</v>
      </c>
      <c r="G24" s="38">
        <v>0.89800000000000002</v>
      </c>
      <c r="H24" s="36" t="s">
        <v>237</v>
      </c>
      <c r="I24" s="488">
        <v>0.84099999999999997</v>
      </c>
    </row>
    <row r="25" spans="2:9" ht="41.25" customHeight="1" thickBot="1" x14ac:dyDescent="0.25">
      <c r="B25" s="695" t="s">
        <v>267</v>
      </c>
      <c r="C25" s="695"/>
      <c r="D25" s="41">
        <v>0.995</v>
      </c>
      <c r="E25" s="38">
        <v>0.86199999999999999</v>
      </c>
      <c r="F25" s="38">
        <v>0.88400000000000001</v>
      </c>
      <c r="G25" s="38">
        <v>0.89500000000000002</v>
      </c>
      <c r="H25" s="38">
        <v>0.93159999999999998</v>
      </c>
      <c r="I25" s="488">
        <v>0.88290000000000002</v>
      </c>
    </row>
    <row r="26" spans="2:9" ht="41.25" customHeight="1" thickBot="1" x14ac:dyDescent="0.25">
      <c r="B26" s="695" t="s">
        <v>298</v>
      </c>
      <c r="C26" s="695"/>
      <c r="D26" s="138">
        <v>1</v>
      </c>
      <c r="E26" s="138">
        <v>1</v>
      </c>
      <c r="F26" s="138">
        <v>1</v>
      </c>
      <c r="G26" s="38">
        <v>0.98599999999999999</v>
      </c>
      <c r="H26" s="38">
        <v>0.99950000000000006</v>
      </c>
      <c r="I26" s="488">
        <v>0.77349999999999997</v>
      </c>
    </row>
    <row r="27" spans="2:9" ht="41.25" customHeight="1" thickBot="1" x14ac:dyDescent="0.25">
      <c r="B27" s="695" t="s">
        <v>269</v>
      </c>
      <c r="C27" s="695"/>
      <c r="D27" s="41">
        <v>0.96599999999999997</v>
      </c>
      <c r="E27" s="138">
        <v>1</v>
      </c>
      <c r="F27" s="38">
        <v>0.95599999999999996</v>
      </c>
      <c r="G27" s="38">
        <v>0.97699999999999998</v>
      </c>
      <c r="H27" s="38">
        <v>0.97340000000000004</v>
      </c>
      <c r="I27" s="377">
        <v>1</v>
      </c>
    </row>
    <row r="28" spans="2:9" ht="41.25" customHeight="1" thickBot="1" x14ac:dyDescent="0.25">
      <c r="B28" s="695" t="s">
        <v>270</v>
      </c>
      <c r="C28" s="695"/>
      <c r="D28" s="38">
        <v>0.96299999999999997</v>
      </c>
      <c r="E28" s="38">
        <v>0.93100000000000005</v>
      </c>
      <c r="F28" s="138">
        <v>0.97</v>
      </c>
      <c r="G28" s="138">
        <v>0.91</v>
      </c>
      <c r="H28" s="38">
        <v>0.97499999999999998</v>
      </c>
      <c r="I28" s="488">
        <v>0.96020000000000005</v>
      </c>
    </row>
    <row r="29" spans="2:9" ht="41.25" customHeight="1" thickBot="1" x14ac:dyDescent="0.25">
      <c r="B29" s="695" t="s">
        <v>283</v>
      </c>
      <c r="C29" s="695"/>
      <c r="D29" s="138">
        <v>1</v>
      </c>
      <c r="E29" s="138">
        <v>1</v>
      </c>
      <c r="F29" s="38">
        <v>0.996</v>
      </c>
      <c r="G29" s="138">
        <v>1</v>
      </c>
      <c r="H29" s="38">
        <v>0.91679999999999995</v>
      </c>
      <c r="I29" s="488">
        <v>0.91700000000000004</v>
      </c>
    </row>
    <row r="30" spans="2:9" ht="41.25" customHeight="1" thickBot="1" x14ac:dyDescent="0.25">
      <c r="B30" s="695" t="s">
        <v>285</v>
      </c>
      <c r="C30" s="695"/>
      <c r="D30" s="38">
        <v>0.94199999999999995</v>
      </c>
      <c r="E30" s="36">
        <v>94.4</v>
      </c>
      <c r="F30" s="36">
        <v>92.4</v>
      </c>
      <c r="G30" s="36">
        <v>95.5</v>
      </c>
      <c r="H30" s="138">
        <v>1</v>
      </c>
      <c r="I30" s="377">
        <v>1</v>
      </c>
    </row>
    <row r="31" spans="2:9" ht="41.25" customHeight="1" thickBot="1" x14ac:dyDescent="0.25">
      <c r="B31" s="695" t="s">
        <v>555</v>
      </c>
      <c r="C31" s="695"/>
      <c r="D31" s="60">
        <v>1</v>
      </c>
      <c r="E31" s="60">
        <v>0.97</v>
      </c>
      <c r="F31" s="60">
        <v>0.72</v>
      </c>
      <c r="G31" s="60">
        <v>0.99</v>
      </c>
      <c r="H31" s="60">
        <v>1</v>
      </c>
      <c r="I31" s="488">
        <v>0.89900000000000002</v>
      </c>
    </row>
    <row r="32" spans="2:9" ht="22.5" customHeight="1" x14ac:dyDescent="0.2">
      <c r="B32" s="836" t="str">
        <f>D5</f>
        <v>≥ 70%</v>
      </c>
      <c r="C32" s="836"/>
      <c r="D32" s="50">
        <f t="shared" ref="D32:F32" si="0">COUNTIF(D13:D31,"&gt;=70%")</f>
        <v>17</v>
      </c>
      <c r="E32" s="50">
        <f t="shared" si="0"/>
        <v>19</v>
      </c>
      <c r="F32" s="50">
        <f t="shared" si="0"/>
        <v>18</v>
      </c>
      <c r="G32" s="50">
        <f>COUNTIF(G13:G31,"&gt;=70%")</f>
        <v>17</v>
      </c>
      <c r="H32" s="50">
        <f>COUNTIF(H13:H31,"&gt;=70%")</f>
        <v>18</v>
      </c>
      <c r="I32" s="50">
        <f>COUNTIF(I13:I31,"&gt;=70%")</f>
        <v>18</v>
      </c>
    </row>
    <row r="33" spans="2:14" ht="22.5" customHeight="1" x14ac:dyDescent="0.2">
      <c r="B33" s="689" t="s">
        <v>274</v>
      </c>
      <c r="C33" s="689"/>
      <c r="D33" s="50">
        <f t="shared" ref="D33:I33" si="1">COUNT(D13:D31)</f>
        <v>18</v>
      </c>
      <c r="E33" s="50">
        <f t="shared" si="1"/>
        <v>19</v>
      </c>
      <c r="F33" s="50">
        <f t="shared" si="1"/>
        <v>18</v>
      </c>
      <c r="G33" s="50">
        <f t="shared" si="1"/>
        <v>17</v>
      </c>
      <c r="H33" s="50">
        <f t="shared" si="1"/>
        <v>18</v>
      </c>
      <c r="I33" s="50">
        <f t="shared" si="1"/>
        <v>19</v>
      </c>
    </row>
    <row r="34" spans="2:14" ht="22.5" customHeight="1" x14ac:dyDescent="0.2">
      <c r="B34" s="45" t="s">
        <v>231</v>
      </c>
      <c r="C34" s="135" t="str">
        <f>D5</f>
        <v>≥ 70%</v>
      </c>
      <c r="D34" s="507">
        <v>0.7</v>
      </c>
      <c r="E34" s="507">
        <v>0.7</v>
      </c>
      <c r="F34" s="507">
        <v>0.7</v>
      </c>
      <c r="G34" s="507">
        <v>0.7</v>
      </c>
      <c r="H34" s="507">
        <v>0.7</v>
      </c>
      <c r="I34" s="507">
        <v>0.7</v>
      </c>
    </row>
    <row r="35" spans="2:14" ht="22.5" customHeight="1" x14ac:dyDescent="0.2">
      <c r="B35" s="685" t="s">
        <v>232</v>
      </c>
      <c r="C35" s="735"/>
      <c r="D35" s="52">
        <f t="shared" ref="D35:I35" si="2">D32/D33</f>
        <v>0.94444444444444442</v>
      </c>
      <c r="E35" s="508">
        <f t="shared" si="2"/>
        <v>1</v>
      </c>
      <c r="F35" s="508">
        <f t="shared" si="2"/>
        <v>1</v>
      </c>
      <c r="G35" s="508">
        <f t="shared" si="2"/>
        <v>1</v>
      </c>
      <c r="H35" s="508">
        <f t="shared" si="2"/>
        <v>1</v>
      </c>
      <c r="I35" s="52">
        <f t="shared" si="2"/>
        <v>0.94736842105263153</v>
      </c>
    </row>
    <row r="36" spans="2:14" ht="22.5" customHeight="1" x14ac:dyDescent="0.25">
      <c r="B36" s="7"/>
      <c r="C36" s="7"/>
      <c r="D36" s="6"/>
      <c r="E36" s="6"/>
      <c r="F36" s="6"/>
      <c r="G36" s="6"/>
      <c r="H36" s="6"/>
      <c r="I36" s="6"/>
      <c r="J36" s="6"/>
    </row>
    <row r="37" spans="2:14" ht="22.5" customHeight="1" x14ac:dyDescent="0.2">
      <c r="B37" s="594" t="s">
        <v>233</v>
      </c>
      <c r="C37" s="595"/>
      <c r="D37" s="595"/>
      <c r="E37" s="596"/>
      <c r="F37" s="8"/>
      <c r="K37" s="594" t="s">
        <v>234</v>
      </c>
      <c r="L37" s="595"/>
      <c r="M37" s="595"/>
      <c r="N37" s="596"/>
    </row>
    <row r="38" spans="2:14" ht="22.5" customHeight="1" x14ac:dyDescent="0.2">
      <c r="B38" s="8"/>
      <c r="C38" s="8"/>
      <c r="D38" s="8"/>
      <c r="E38" s="8"/>
      <c r="F38" s="8"/>
      <c r="K38" s="9"/>
      <c r="L38" s="9"/>
      <c r="M38" s="9"/>
      <c r="N38" s="9"/>
    </row>
    <row r="39" spans="2:14" ht="6" customHeight="1" x14ac:dyDescent="0.2">
      <c r="B39" s="8"/>
      <c r="C39" s="8"/>
      <c r="D39" s="8"/>
      <c r="E39" s="8"/>
      <c r="F39" s="8"/>
      <c r="K39" s="865" t="s">
        <v>172</v>
      </c>
      <c r="L39" s="580"/>
      <c r="M39" s="580"/>
      <c r="N39" s="581"/>
    </row>
    <row r="40" spans="2:14" ht="19.5" customHeight="1" x14ac:dyDescent="0.2">
      <c r="B40" s="8"/>
      <c r="C40" s="8"/>
      <c r="D40" s="8"/>
      <c r="E40" s="8"/>
      <c r="F40" s="8"/>
      <c r="K40" s="582"/>
      <c r="L40" s="583"/>
      <c r="M40" s="583"/>
      <c r="N40" s="584"/>
    </row>
    <row r="41" spans="2:14" ht="19.5" customHeight="1" x14ac:dyDescent="0.2">
      <c r="B41" s="8"/>
      <c r="C41" s="8"/>
      <c r="D41" s="8"/>
      <c r="E41" s="8"/>
      <c r="F41" s="8"/>
      <c r="K41" s="582"/>
      <c r="L41" s="583"/>
      <c r="M41" s="583"/>
      <c r="N41" s="584"/>
    </row>
    <row r="42" spans="2:14" ht="19.5" customHeight="1" x14ac:dyDescent="0.2">
      <c r="B42" s="8"/>
      <c r="C42" s="8"/>
      <c r="D42" s="8"/>
      <c r="E42" s="8"/>
      <c r="F42" s="8"/>
      <c r="K42" s="582"/>
      <c r="L42" s="583"/>
      <c r="M42" s="583"/>
      <c r="N42" s="584"/>
    </row>
    <row r="43" spans="2:14" ht="19.5" customHeight="1" x14ac:dyDescent="0.2">
      <c r="B43" s="8"/>
      <c r="C43" s="8"/>
      <c r="D43" s="8"/>
      <c r="E43" s="8"/>
      <c r="F43" s="8"/>
      <c r="K43" s="582"/>
      <c r="L43" s="583"/>
      <c r="M43" s="583"/>
      <c r="N43" s="584"/>
    </row>
    <row r="44" spans="2:14" ht="19.5" customHeight="1" x14ac:dyDescent="0.2">
      <c r="B44" s="8"/>
      <c r="C44" s="8"/>
      <c r="D44" s="8"/>
      <c r="E44" s="8"/>
      <c r="F44" s="8"/>
      <c r="K44" s="582"/>
      <c r="L44" s="583"/>
      <c r="M44" s="583"/>
      <c r="N44" s="584"/>
    </row>
    <row r="45" spans="2:14" ht="19.5" customHeight="1" x14ac:dyDescent="0.2">
      <c r="B45" s="8"/>
      <c r="C45" s="8"/>
      <c r="D45" s="8"/>
      <c r="E45" s="8"/>
      <c r="F45" s="8"/>
      <c r="K45" s="582"/>
      <c r="L45" s="583"/>
      <c r="M45" s="583"/>
      <c r="N45" s="584"/>
    </row>
    <row r="46" spans="2:14" ht="19.5" customHeight="1" x14ac:dyDescent="0.2">
      <c r="B46" s="8"/>
      <c r="C46" s="8"/>
      <c r="D46" s="8"/>
      <c r="E46" s="8"/>
      <c r="F46" s="8"/>
      <c r="K46" s="582"/>
      <c r="L46" s="583"/>
      <c r="M46" s="583"/>
      <c r="N46" s="584"/>
    </row>
    <row r="47" spans="2:14" ht="19.5" customHeight="1" x14ac:dyDescent="0.2">
      <c r="B47" s="8"/>
      <c r="C47" s="8"/>
      <c r="D47" s="8"/>
      <c r="E47" s="8"/>
      <c r="F47" s="8"/>
      <c r="K47" s="585"/>
      <c r="L47" s="586"/>
      <c r="M47" s="586"/>
      <c r="N47" s="587"/>
    </row>
    <row r="49" spans="8:10" ht="19.5" customHeight="1" x14ac:dyDescent="0.2">
      <c r="H49" s="588" t="s">
        <v>172</v>
      </c>
      <c r="I49" s="589"/>
      <c r="J49" s="589"/>
    </row>
  </sheetData>
  <sheetProtection sheet="1" formatCells="0" formatColumns="0" formatRows="0" insertColumns="0" insertRows="0" insertHyperlinks="0" deleteColumns="0" deleteRows="0" pivotTables="0"/>
  <mergeCells count="42">
    <mergeCell ref="B2:D2"/>
    <mergeCell ref="E2:J2"/>
    <mergeCell ref="B4:C4"/>
    <mergeCell ref="D4:E4"/>
    <mergeCell ref="F4:G4"/>
    <mergeCell ref="H4:J4"/>
    <mergeCell ref="B7:C7"/>
    <mergeCell ref="D7:J7"/>
    <mergeCell ref="B5:C5"/>
    <mergeCell ref="D5:E5"/>
    <mergeCell ref="F5:G5"/>
    <mergeCell ref="H5:J5"/>
    <mergeCell ref="B6:C6"/>
    <mergeCell ref="D6:E6"/>
    <mergeCell ref="F6:G6"/>
    <mergeCell ref="B23:C23"/>
    <mergeCell ref="B9:J9"/>
    <mergeCell ref="B13:C13"/>
    <mergeCell ref="B14:C14"/>
    <mergeCell ref="B16:C16"/>
    <mergeCell ref="B22:C22"/>
    <mergeCell ref="B15:C15"/>
    <mergeCell ref="B19:C19"/>
    <mergeCell ref="B17:C17"/>
    <mergeCell ref="B20:C20"/>
    <mergeCell ref="B18:C18"/>
    <mergeCell ref="K37:N37"/>
    <mergeCell ref="K39:N47"/>
    <mergeCell ref="H49:J49"/>
    <mergeCell ref="B21:C21"/>
    <mergeCell ref="B24:C24"/>
    <mergeCell ref="B31:C31"/>
    <mergeCell ref="B32:C32"/>
    <mergeCell ref="B33:C33"/>
    <mergeCell ref="B35:C35"/>
    <mergeCell ref="B37:E37"/>
    <mergeCell ref="B25:C25"/>
    <mergeCell ref="B26:C26"/>
    <mergeCell ref="B27:C27"/>
    <mergeCell ref="B28:C28"/>
    <mergeCell ref="B29:C29"/>
    <mergeCell ref="B30:C30"/>
  </mergeCells>
  <conditionalFormatting sqref="D13:H31">
    <cfRule type="cellIs" dxfId="24" priority="1" operator="lessThan">
      <formula>0.7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9F89C-B7FE-4C13-BFCA-8284D8C92750}">
  <sheetPr>
    <tabColor theme="9" tint="-0.499984740745262"/>
    <pageSetUpPr fitToPage="1"/>
  </sheetPr>
  <dimension ref="B2:N41"/>
  <sheetViews>
    <sheetView showGridLines="0" topLeftCell="A27" workbookViewId="0">
      <selection activeCell="G27" sqref="G27:G28"/>
    </sheetView>
  </sheetViews>
  <sheetFormatPr defaultColWidth="12.5703125" defaultRowHeight="15.75" customHeight="1" x14ac:dyDescent="0.2"/>
  <cols>
    <col min="1" max="1" width="3.42578125" customWidth="1"/>
    <col min="2" max="2" width="14.140625" customWidth="1"/>
    <col min="3" max="3" width="12.5703125" customWidth="1"/>
    <col min="4" max="4" width="17.28515625" bestFit="1" customWidth="1"/>
    <col min="5" max="9" width="12.5703125" customWidth="1"/>
    <col min="10" max="10" width="36.28515625" customWidth="1"/>
    <col min="11" max="20" width="7.5703125" customWidth="1"/>
  </cols>
  <sheetData>
    <row r="2" spans="2:10" ht="55.5" customHeight="1" x14ac:dyDescent="0.2">
      <c r="B2" s="670"/>
      <c r="C2" s="671"/>
      <c r="D2" s="672"/>
      <c r="E2" s="673" t="s">
        <v>213</v>
      </c>
      <c r="F2" s="671"/>
      <c r="G2" s="671"/>
      <c r="H2" s="671"/>
      <c r="I2" s="671"/>
      <c r="J2" s="672"/>
    </row>
    <row r="3" spans="2:10" ht="22.5" customHeight="1" x14ac:dyDescent="0.2">
      <c r="B3" s="46"/>
      <c r="C3" s="46"/>
      <c r="D3" s="47"/>
      <c r="E3" s="47"/>
      <c r="F3" s="47"/>
      <c r="G3" s="47"/>
      <c r="H3" s="47"/>
      <c r="I3" s="47"/>
    </row>
    <row r="4" spans="2:10" ht="42" customHeight="1" x14ac:dyDescent="0.2">
      <c r="B4" s="594" t="s">
        <v>214</v>
      </c>
      <c r="C4" s="596"/>
      <c r="D4" s="674" t="str">
        <f>Índex!B58</f>
        <v xml:space="preserve">PS4.03_Ind03. </v>
      </c>
      <c r="E4" s="672"/>
      <c r="F4" s="594" t="s">
        <v>215</v>
      </c>
      <c r="G4" s="596"/>
      <c r="H4" s="674" t="str">
        <f>Índex!C58</f>
        <v xml:space="preserve">Percentatge d’hores de docència impartides per PDI permanent </v>
      </c>
      <c r="I4" s="671"/>
      <c r="J4" s="672"/>
    </row>
    <row r="5" spans="2:10" ht="22.5" customHeight="1" x14ac:dyDescent="0.2">
      <c r="B5" s="594" t="s">
        <v>323</v>
      </c>
      <c r="C5" s="596"/>
      <c r="D5" s="736" t="str">
        <f>Índex!F58</f>
        <v xml:space="preserve">≥ 55% </v>
      </c>
      <c r="E5" s="672"/>
      <c r="F5" s="732" t="s">
        <v>217</v>
      </c>
      <c r="G5" s="596"/>
      <c r="H5" s="843" t="s">
        <v>241</v>
      </c>
      <c r="I5" s="868"/>
      <c r="J5" s="844"/>
    </row>
    <row r="6" spans="2:10" ht="22.5" customHeight="1" x14ac:dyDescent="0.2">
      <c r="B6" s="594" t="s">
        <v>219</v>
      </c>
      <c r="C6" s="596"/>
      <c r="D6" s="674" t="s">
        <v>220</v>
      </c>
      <c r="E6" s="672"/>
      <c r="F6" s="594" t="s">
        <v>242</v>
      </c>
      <c r="G6" s="596"/>
      <c r="H6" s="107" t="str">
        <f>Índex!E58</f>
        <v>Gestora de Qualitat</v>
      </c>
      <c r="J6" s="108"/>
    </row>
    <row r="7" spans="2:10" ht="22.5" customHeight="1" x14ac:dyDescent="0.2">
      <c r="B7" s="594" t="s">
        <v>222</v>
      </c>
      <c r="C7" s="596"/>
      <c r="D7" s="674" t="str">
        <f>Índex!G58</f>
        <v xml:space="preserve">PS4.03. Gestió de la Política de PDI  </v>
      </c>
      <c r="E7" s="671"/>
      <c r="F7" s="671"/>
      <c r="G7" s="671"/>
      <c r="H7" s="671"/>
      <c r="I7" s="671"/>
      <c r="J7" s="672"/>
    </row>
    <row r="8" spans="2:10" ht="7.5" customHeight="1" x14ac:dyDescent="0.2"/>
    <row r="9" spans="2:10" ht="22.5" customHeight="1" x14ac:dyDescent="0.2">
      <c r="B9" s="594" t="s">
        <v>223</v>
      </c>
      <c r="C9" s="595"/>
      <c r="D9" s="595"/>
      <c r="E9" s="595"/>
      <c r="F9" s="595"/>
      <c r="G9" s="595"/>
      <c r="H9" s="595"/>
      <c r="I9" s="595"/>
      <c r="J9" s="596"/>
    </row>
    <row r="10" spans="2:10" ht="22.5" customHeight="1" x14ac:dyDescent="0.2">
      <c r="B10" s="14"/>
      <c r="C10" s="13"/>
      <c r="D10" s="13"/>
      <c r="E10" s="13"/>
      <c r="F10" s="13"/>
      <c r="G10" s="13"/>
      <c r="H10" s="13"/>
      <c r="I10" s="13"/>
      <c r="J10" s="13"/>
    </row>
    <row r="11" spans="2:10" ht="22.5" customHeight="1" x14ac:dyDescent="0.2"/>
    <row r="12" spans="2:10" ht="22.5" customHeight="1" x14ac:dyDescent="0.2">
      <c r="B12" s="16"/>
      <c r="C12" s="16"/>
      <c r="D12" s="94" t="s">
        <v>225</v>
      </c>
      <c r="E12" s="94" t="s">
        <v>226</v>
      </c>
      <c r="F12" s="94" t="s">
        <v>227</v>
      </c>
      <c r="G12" s="94" t="s">
        <v>228</v>
      </c>
      <c r="H12" s="94" t="s">
        <v>229</v>
      </c>
      <c r="I12" s="24"/>
    </row>
    <row r="13" spans="2:10" ht="41.25" customHeight="1" x14ac:dyDescent="0.2">
      <c r="B13" s="695" t="s">
        <v>244</v>
      </c>
      <c r="C13" s="751"/>
      <c r="D13" s="269">
        <v>0.49199999999999999</v>
      </c>
      <c r="E13" s="269">
        <v>0.46400000000000002</v>
      </c>
      <c r="F13" s="270">
        <v>0.41799999999999998</v>
      </c>
      <c r="G13" s="270">
        <v>0.44019999999999998</v>
      </c>
      <c r="H13" s="270">
        <v>0.48</v>
      </c>
      <c r="I13" s="18"/>
      <c r="J13" s="126"/>
    </row>
    <row r="14" spans="2:10" ht="41.25" customHeight="1" x14ac:dyDescent="0.2">
      <c r="B14" s="695" t="s">
        <v>343</v>
      </c>
      <c r="C14" s="751"/>
      <c r="D14" s="140">
        <v>0.50800000000000001</v>
      </c>
      <c r="E14" s="140">
        <v>0.46200000000000002</v>
      </c>
      <c r="F14" s="140">
        <v>0.48799999999999999</v>
      </c>
      <c r="G14" s="140">
        <v>0.4491</v>
      </c>
      <c r="H14" s="140" t="s">
        <v>260</v>
      </c>
      <c r="I14" s="18"/>
      <c r="J14" s="126"/>
    </row>
    <row r="15" spans="2:10" ht="41.25" customHeight="1" x14ac:dyDescent="0.2">
      <c r="B15" s="695" t="s">
        <v>293</v>
      </c>
      <c r="C15" s="751"/>
      <c r="D15" s="140">
        <v>0.52</v>
      </c>
      <c r="E15" s="140">
        <v>0.45700000000000002</v>
      </c>
      <c r="F15" s="140">
        <v>0.38700000000000001</v>
      </c>
      <c r="G15" s="140">
        <v>0.43730000000000002</v>
      </c>
      <c r="H15" s="140">
        <v>0.43</v>
      </c>
      <c r="I15" s="18"/>
      <c r="J15" s="126"/>
    </row>
    <row r="16" spans="2:10" ht="41.25" customHeight="1" x14ac:dyDescent="0.2">
      <c r="B16" s="695" t="s">
        <v>247</v>
      </c>
      <c r="C16" s="751"/>
      <c r="D16" s="140">
        <v>0.68600000000000005</v>
      </c>
      <c r="E16" s="140">
        <v>0.67900000000000005</v>
      </c>
      <c r="F16" s="140">
        <v>0.68400000000000005</v>
      </c>
      <c r="G16" s="140">
        <v>0.69730000000000003</v>
      </c>
      <c r="H16" s="140">
        <v>0.64</v>
      </c>
      <c r="I16" s="18"/>
      <c r="J16" s="126"/>
    </row>
    <row r="17" spans="2:14" ht="41.25" customHeight="1" x14ac:dyDescent="0.2">
      <c r="B17" s="695" t="s">
        <v>337</v>
      </c>
      <c r="C17" s="751"/>
      <c r="D17" s="140">
        <v>0.71499999999999997</v>
      </c>
      <c r="E17" s="140">
        <v>0.70899999999999996</v>
      </c>
      <c r="F17" s="140">
        <v>0.64500000000000002</v>
      </c>
      <c r="G17" s="140">
        <v>0.57050000000000001</v>
      </c>
      <c r="H17" s="140" t="s">
        <v>260</v>
      </c>
      <c r="I17" s="18"/>
      <c r="J17" s="126"/>
      <c r="K17" s="23"/>
      <c r="L17" s="28"/>
      <c r="M17" s="28"/>
    </row>
    <row r="18" spans="2:14" ht="41.25" customHeight="1" x14ac:dyDescent="0.2">
      <c r="B18" s="695" t="s">
        <v>556</v>
      </c>
      <c r="C18" s="751"/>
      <c r="D18" s="140">
        <v>0.76700000000000002</v>
      </c>
      <c r="E18" s="140">
        <v>0.78200000000000003</v>
      </c>
      <c r="F18" s="140">
        <v>0.72399999999999998</v>
      </c>
      <c r="G18" s="140">
        <v>0.74019999999999997</v>
      </c>
      <c r="H18" s="140" t="s">
        <v>260</v>
      </c>
      <c r="I18" s="18"/>
      <c r="J18" s="126"/>
      <c r="K18" s="23"/>
      <c r="L18" s="28"/>
      <c r="M18" s="28"/>
    </row>
    <row r="19" spans="2:14" ht="41.25" customHeight="1" x14ac:dyDescent="0.2">
      <c r="B19" s="695" t="s">
        <v>250</v>
      </c>
      <c r="C19" s="695"/>
      <c r="D19" s="140">
        <v>0.54600000000000004</v>
      </c>
      <c r="E19" s="140">
        <v>0.501</v>
      </c>
      <c r="F19" s="140">
        <v>0.53300000000000003</v>
      </c>
      <c r="G19" s="140">
        <v>0.48099999999999998</v>
      </c>
      <c r="H19" s="140">
        <v>0.67</v>
      </c>
      <c r="I19" s="18"/>
      <c r="J19" s="126"/>
      <c r="K19" s="23"/>
      <c r="L19" s="28"/>
      <c r="M19" s="28"/>
    </row>
    <row r="20" spans="2:14" ht="41.25" customHeight="1" x14ac:dyDescent="0.25">
      <c r="B20" s="867" t="s">
        <v>251</v>
      </c>
      <c r="C20" s="867"/>
      <c r="D20" s="140">
        <v>0.71099999999999997</v>
      </c>
      <c r="E20" s="140">
        <v>0.80100000000000005</v>
      </c>
      <c r="F20" s="140">
        <v>0.63400000000000001</v>
      </c>
      <c r="G20" s="140">
        <v>0.6724</v>
      </c>
      <c r="H20" s="140">
        <v>0.46</v>
      </c>
      <c r="I20" s="18"/>
      <c r="J20" s="126"/>
      <c r="K20" s="23"/>
      <c r="L20" s="28"/>
      <c r="M20" s="28"/>
    </row>
    <row r="21" spans="2:14" ht="41.25" customHeight="1" x14ac:dyDescent="0.2">
      <c r="B21" s="695" t="s">
        <v>252</v>
      </c>
      <c r="C21" s="695"/>
      <c r="D21" s="140">
        <v>0.81799999999999995</v>
      </c>
      <c r="E21" s="140">
        <v>0.82799999999999996</v>
      </c>
      <c r="F21" s="140">
        <v>0.752</v>
      </c>
      <c r="G21" s="140">
        <v>0.7702</v>
      </c>
      <c r="H21" s="140">
        <v>0.78</v>
      </c>
      <c r="I21" s="18"/>
      <c r="J21" s="29"/>
    </row>
    <row r="22" spans="2:14" ht="41.25" customHeight="1" x14ac:dyDescent="0.2">
      <c r="B22" s="695" t="s">
        <v>253</v>
      </c>
      <c r="C22" s="695"/>
      <c r="D22" s="140">
        <v>0.55300000000000005</v>
      </c>
      <c r="E22" s="140">
        <v>0.53</v>
      </c>
      <c r="F22" s="140">
        <v>0.51800000000000002</v>
      </c>
      <c r="G22" s="140">
        <v>0.57789999999999997</v>
      </c>
      <c r="H22" s="140">
        <v>0.67</v>
      </c>
      <c r="I22" s="18"/>
      <c r="J22" s="30"/>
      <c r="K22" s="55"/>
      <c r="L22" s="55"/>
      <c r="M22" s="55"/>
      <c r="N22" s="55"/>
    </row>
    <row r="23" spans="2:14" ht="41.25" customHeight="1" x14ac:dyDescent="0.2">
      <c r="B23" s="695" t="s">
        <v>254</v>
      </c>
      <c r="C23" s="695"/>
      <c r="D23" s="140">
        <v>0.70399999999999996</v>
      </c>
      <c r="E23" s="140">
        <v>0.74299999999999999</v>
      </c>
      <c r="F23" s="140">
        <v>0.59399999999999997</v>
      </c>
      <c r="G23" s="140">
        <v>0.51829999999999998</v>
      </c>
      <c r="H23" s="140">
        <v>0.57999999999999996</v>
      </c>
      <c r="I23" s="18"/>
      <c r="J23" s="30"/>
      <c r="K23" s="55"/>
      <c r="L23" s="55"/>
      <c r="M23" s="55"/>
      <c r="N23" s="55"/>
    </row>
    <row r="24" spans="2:14" ht="22.5" customHeight="1" x14ac:dyDescent="0.2">
      <c r="B24" s="687" t="str">
        <f>D5</f>
        <v xml:space="preserve">≥ 55% </v>
      </c>
      <c r="C24" s="687"/>
      <c r="D24" s="17">
        <f>COUNTIF(D13:D23,"&gt;=55%")</f>
        <v>7</v>
      </c>
      <c r="E24" s="17">
        <f t="shared" ref="E24:G24" si="0">COUNTIF(E13:E23,"&gt;=55%")</f>
        <v>6</v>
      </c>
      <c r="F24" s="17">
        <f t="shared" si="0"/>
        <v>6</v>
      </c>
      <c r="G24" s="17">
        <f t="shared" si="0"/>
        <v>6</v>
      </c>
      <c r="H24" s="17">
        <f t="shared" ref="H24" si="1">COUNTIF(H13:H23,"&gt;=55%")</f>
        <v>5</v>
      </c>
    </row>
    <row r="25" spans="2:14" ht="22.5" customHeight="1" x14ac:dyDescent="0.2">
      <c r="B25" s="689" t="s">
        <v>274</v>
      </c>
      <c r="C25" s="689"/>
      <c r="D25" s="17">
        <f>COUNT(D13:D23)</f>
        <v>11</v>
      </c>
      <c r="E25" s="17">
        <f t="shared" ref="E25:G25" si="2">COUNT(E13:E23)</f>
        <v>11</v>
      </c>
      <c r="F25" s="17">
        <f t="shared" si="2"/>
        <v>11</v>
      </c>
      <c r="G25" s="17">
        <f t="shared" si="2"/>
        <v>11</v>
      </c>
      <c r="H25" s="17">
        <f t="shared" ref="H25" si="3">COUNT(H13:H23)</f>
        <v>8</v>
      </c>
    </row>
    <row r="26" spans="2:14" ht="22.5" customHeight="1" x14ac:dyDescent="0.2">
      <c r="B26" s="45" t="s">
        <v>231</v>
      </c>
      <c r="C26" s="135" t="str">
        <f>D5</f>
        <v xml:space="preserve">≥ 55% </v>
      </c>
      <c r="D26" s="77">
        <v>0.55000000000000004</v>
      </c>
      <c r="E26" s="77">
        <v>0.55000000000000004</v>
      </c>
      <c r="F26" s="77">
        <v>0.55000000000000004</v>
      </c>
      <c r="G26" s="77">
        <v>0.55000000000000004</v>
      </c>
      <c r="H26" s="77">
        <v>0.55000000000000004</v>
      </c>
      <c r="I26" s="25"/>
    </row>
    <row r="27" spans="2:14" ht="22.5" customHeight="1" x14ac:dyDescent="0.2">
      <c r="B27" s="685" t="s">
        <v>232</v>
      </c>
      <c r="C27" s="735"/>
      <c r="D27" s="48">
        <f>D24/D25</f>
        <v>0.63636363636363635</v>
      </c>
      <c r="E27" s="48">
        <f>E24/E25</f>
        <v>0.54545454545454541</v>
      </c>
      <c r="F27" s="48">
        <f>F24/F25</f>
        <v>0.54545454545454541</v>
      </c>
      <c r="G27" s="48">
        <f>G24/G25</f>
        <v>0.54545454545454541</v>
      </c>
      <c r="H27" s="48">
        <f>H24/H25</f>
        <v>0.625</v>
      </c>
      <c r="I27" s="26"/>
    </row>
    <row r="28" spans="2:14" ht="22.5" customHeight="1" x14ac:dyDescent="0.25">
      <c r="B28" s="7"/>
      <c r="C28" s="7"/>
      <c r="D28" s="6"/>
      <c r="E28" s="6"/>
      <c r="F28" s="6"/>
      <c r="G28" s="6"/>
      <c r="H28" s="6"/>
      <c r="I28" s="6"/>
      <c r="J28" s="6"/>
    </row>
    <row r="29" spans="2:14" ht="22.5" customHeight="1" x14ac:dyDescent="0.2">
      <c r="B29" s="594" t="s">
        <v>233</v>
      </c>
      <c r="C29" s="595"/>
      <c r="D29" s="595"/>
      <c r="E29" s="596"/>
      <c r="F29" s="8"/>
      <c r="K29" s="594" t="s">
        <v>234</v>
      </c>
      <c r="L29" s="595"/>
      <c r="M29" s="595"/>
      <c r="N29" s="596"/>
    </row>
    <row r="30" spans="2:14" ht="22.5" customHeight="1" x14ac:dyDescent="0.2">
      <c r="B30" s="8"/>
      <c r="C30" s="8"/>
      <c r="D30" s="8"/>
      <c r="E30" s="8"/>
      <c r="F30" s="8"/>
      <c r="K30" s="9"/>
      <c r="L30" s="9"/>
      <c r="M30" s="9"/>
      <c r="N30" s="9"/>
    </row>
    <row r="31" spans="2:14" ht="6" customHeight="1" x14ac:dyDescent="0.2">
      <c r="B31" s="8"/>
      <c r="C31" s="8"/>
      <c r="D31" s="8"/>
      <c r="E31" s="8"/>
      <c r="F31" s="8"/>
      <c r="K31" s="634" t="s">
        <v>557</v>
      </c>
      <c r="L31" s="580"/>
      <c r="M31" s="580"/>
      <c r="N31" s="581"/>
    </row>
    <row r="32" spans="2:14" ht="19.5" customHeight="1" x14ac:dyDescent="0.2">
      <c r="B32" s="8"/>
      <c r="C32" s="8"/>
      <c r="D32" s="8"/>
      <c r="E32" s="8"/>
      <c r="F32" s="8"/>
      <c r="K32" s="582"/>
      <c r="L32" s="583"/>
      <c r="M32" s="583"/>
      <c r="N32" s="584"/>
    </row>
    <row r="33" spans="8:14" ht="19.5" customHeight="1" x14ac:dyDescent="0.2">
      <c r="K33" s="582"/>
      <c r="L33" s="583"/>
      <c r="M33" s="583"/>
      <c r="N33" s="584"/>
    </row>
    <row r="34" spans="8:14" ht="19.5" customHeight="1" x14ac:dyDescent="0.2">
      <c r="K34" s="582"/>
      <c r="L34" s="583"/>
      <c r="M34" s="583"/>
      <c r="N34" s="584"/>
    </row>
    <row r="35" spans="8:14" ht="19.5" customHeight="1" x14ac:dyDescent="0.2">
      <c r="K35" s="582"/>
      <c r="L35" s="583"/>
      <c r="M35" s="583"/>
      <c r="N35" s="584"/>
    </row>
    <row r="36" spans="8:14" ht="19.5" customHeight="1" x14ac:dyDescent="0.2">
      <c r="K36" s="582"/>
      <c r="L36" s="583"/>
      <c r="M36" s="583"/>
      <c r="N36" s="584"/>
    </row>
    <row r="37" spans="8:14" ht="19.5" customHeight="1" x14ac:dyDescent="0.2">
      <c r="K37" s="582"/>
      <c r="L37" s="583"/>
      <c r="M37" s="583"/>
      <c r="N37" s="584"/>
    </row>
    <row r="38" spans="8:14" ht="19.5" customHeight="1" x14ac:dyDescent="0.2">
      <c r="K38" s="582"/>
      <c r="L38" s="583"/>
      <c r="M38" s="583"/>
      <c r="N38" s="584"/>
    </row>
    <row r="39" spans="8:14" ht="19.5" customHeight="1" x14ac:dyDescent="0.2">
      <c r="K39" s="585"/>
      <c r="L39" s="586"/>
      <c r="M39" s="586"/>
      <c r="N39" s="587"/>
    </row>
    <row r="40" spans="8:14" ht="19.5" customHeight="1" x14ac:dyDescent="0.2"/>
    <row r="41" spans="8:14" ht="19.5" customHeight="1" x14ac:dyDescent="0.2">
      <c r="H41" s="588" t="s">
        <v>172</v>
      </c>
      <c r="I41" s="589"/>
      <c r="J41" s="589"/>
    </row>
  </sheetData>
  <sheetProtection sheet="1" formatCells="0" formatColumns="0" formatRows="0" insertColumns="0" insertRows="0" insertHyperlinks="0" deleteColumns="0" deleteRows="0" pivotTables="0"/>
  <mergeCells count="34">
    <mergeCell ref="B2:D2"/>
    <mergeCell ref="E2:J2"/>
    <mergeCell ref="B4:C4"/>
    <mergeCell ref="D4:E4"/>
    <mergeCell ref="F4:G4"/>
    <mergeCell ref="H4:J4"/>
    <mergeCell ref="B5:C5"/>
    <mergeCell ref="D5:E5"/>
    <mergeCell ref="F5:G5"/>
    <mergeCell ref="H5:J5"/>
    <mergeCell ref="B6:C6"/>
    <mergeCell ref="D6:E6"/>
    <mergeCell ref="F6:G6"/>
    <mergeCell ref="B17:C17"/>
    <mergeCell ref="B7:C7"/>
    <mergeCell ref="D7:J7"/>
    <mergeCell ref="B9:J9"/>
    <mergeCell ref="B13:C13"/>
    <mergeCell ref="B14:C14"/>
    <mergeCell ref="B15:C15"/>
    <mergeCell ref="B16:C16"/>
    <mergeCell ref="B18:C18"/>
    <mergeCell ref="B19:C19"/>
    <mergeCell ref="B21:C21"/>
    <mergeCell ref="B22:C22"/>
    <mergeCell ref="B24:C24"/>
    <mergeCell ref="B20:C20"/>
    <mergeCell ref="B23:C23"/>
    <mergeCell ref="H41:J41"/>
    <mergeCell ref="B25:C25"/>
    <mergeCell ref="B27:C27"/>
    <mergeCell ref="B29:E29"/>
    <mergeCell ref="K29:N29"/>
    <mergeCell ref="K31:N39"/>
  </mergeCells>
  <conditionalFormatting sqref="D13:H23">
    <cfRule type="cellIs" dxfId="23" priority="1" operator="lessThan">
      <formula>0.55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4E63C-2FCE-43F4-9D16-AE782938BBD5}">
  <sheetPr>
    <tabColor theme="9" tint="-0.499984740745262"/>
    <pageSetUpPr fitToPage="1"/>
  </sheetPr>
  <dimension ref="B2:N48"/>
  <sheetViews>
    <sheetView showGridLines="0" topLeftCell="A20" workbookViewId="0">
      <selection activeCell="H21" sqref="H21"/>
    </sheetView>
  </sheetViews>
  <sheetFormatPr defaultColWidth="12.5703125" defaultRowHeight="15.75" customHeight="1" x14ac:dyDescent="0.2"/>
  <cols>
    <col min="1" max="1" width="3.42578125" customWidth="1"/>
    <col min="2" max="2" width="14.140625" customWidth="1"/>
    <col min="3" max="3" width="12.5703125" customWidth="1"/>
    <col min="4" max="4" width="17.28515625" bestFit="1" customWidth="1"/>
    <col min="5" max="9" width="12.5703125" customWidth="1"/>
    <col min="10" max="10" width="36.28515625" customWidth="1"/>
    <col min="11" max="20" width="7.5703125" customWidth="1"/>
  </cols>
  <sheetData>
    <row r="2" spans="2:10" ht="55.5" customHeight="1" x14ac:dyDescent="0.2">
      <c r="B2" s="670"/>
      <c r="C2" s="671"/>
      <c r="D2" s="672"/>
      <c r="E2" s="673" t="s">
        <v>213</v>
      </c>
      <c r="F2" s="671"/>
      <c r="G2" s="671"/>
      <c r="H2" s="671"/>
      <c r="I2" s="671"/>
      <c r="J2" s="672"/>
    </row>
    <row r="3" spans="2:10" ht="22.5" customHeight="1" x14ac:dyDescent="0.2">
      <c r="B3" s="46"/>
      <c r="C3" s="46"/>
      <c r="D3" s="47"/>
      <c r="E3" s="47"/>
      <c r="F3" s="47"/>
      <c r="G3" s="47"/>
      <c r="H3" s="47"/>
      <c r="I3" s="47"/>
    </row>
    <row r="4" spans="2:10" ht="42" customHeight="1" x14ac:dyDescent="0.2">
      <c r="B4" s="594" t="s">
        <v>214</v>
      </c>
      <c r="C4" s="596"/>
      <c r="D4" s="674" t="str">
        <f>Índex!B59</f>
        <v xml:space="preserve"> PS4.03_Ind04. </v>
      </c>
      <c r="E4" s="672"/>
      <c r="F4" s="594" t="s">
        <v>215</v>
      </c>
      <c r="G4" s="596"/>
      <c r="H4" s="674" t="str">
        <f>Índex!C59</f>
        <v xml:space="preserve">Valoració mitjana per titulació a l’afirmació “Estic satisfet/a amb el professorat”, de l’enquesta de satisfacció dels titulats i titulades
</v>
      </c>
      <c r="I4" s="671"/>
      <c r="J4" s="672"/>
    </row>
    <row r="5" spans="2:10" ht="22.5" customHeight="1" x14ac:dyDescent="0.2">
      <c r="B5" s="594" t="s">
        <v>323</v>
      </c>
      <c r="C5" s="596"/>
      <c r="D5" s="674" t="str">
        <f>Índex!F59</f>
        <v>≥3</v>
      </c>
      <c r="E5" s="672"/>
      <c r="F5" s="732" t="s">
        <v>217</v>
      </c>
      <c r="G5" s="595"/>
      <c r="H5" s="843" t="s">
        <v>241</v>
      </c>
      <c r="I5" s="868"/>
      <c r="J5" s="636"/>
    </row>
    <row r="6" spans="2:10" ht="22.5" customHeight="1" x14ac:dyDescent="0.2">
      <c r="B6" s="594" t="s">
        <v>219</v>
      </c>
      <c r="C6" s="596"/>
      <c r="D6" s="674" t="s">
        <v>220</v>
      </c>
      <c r="E6" s="672"/>
      <c r="F6" s="594" t="s">
        <v>558</v>
      </c>
      <c r="G6" s="596"/>
      <c r="H6" s="107" t="str">
        <f>Índex!E59</f>
        <v>Gestora de Qualitat</v>
      </c>
      <c r="J6" s="108"/>
    </row>
    <row r="7" spans="2:10" ht="22.5" customHeight="1" x14ac:dyDescent="0.2">
      <c r="B7" s="594" t="s">
        <v>222</v>
      </c>
      <c r="C7" s="596"/>
      <c r="D7" s="674" t="str">
        <f>Índex!G59</f>
        <v xml:space="preserve">PS4.03. Gestió de la Política de PDI  </v>
      </c>
      <c r="E7" s="671"/>
      <c r="F7" s="671"/>
      <c r="G7" s="671"/>
      <c r="H7" s="671"/>
      <c r="I7" s="671"/>
      <c r="J7" s="642"/>
    </row>
    <row r="8" spans="2:10" ht="7.5" customHeight="1" x14ac:dyDescent="0.2"/>
    <row r="9" spans="2:10" ht="22.5" customHeight="1" x14ac:dyDescent="0.2">
      <c r="B9" s="594" t="s">
        <v>223</v>
      </c>
      <c r="C9" s="595"/>
      <c r="D9" s="595"/>
      <c r="E9" s="595"/>
      <c r="F9" s="595"/>
      <c r="G9" s="595"/>
      <c r="H9" s="595"/>
      <c r="I9" s="595"/>
      <c r="J9" s="596"/>
    </row>
    <row r="10" spans="2:10" ht="22.5" customHeight="1" x14ac:dyDescent="0.2">
      <c r="B10" s="14"/>
      <c r="C10" s="13"/>
      <c r="D10" s="13"/>
      <c r="E10" s="13"/>
      <c r="F10" s="13"/>
      <c r="G10" s="13"/>
      <c r="H10" s="13"/>
      <c r="I10" s="13"/>
      <c r="J10" s="13"/>
    </row>
    <row r="11" spans="2:10" ht="22.5" customHeight="1" x14ac:dyDescent="0.2"/>
    <row r="12" spans="2:10" ht="22.5" customHeight="1" thickBot="1" x14ac:dyDescent="0.25">
      <c r="B12" s="16"/>
      <c r="C12" s="16"/>
      <c r="D12" s="94" t="s">
        <v>224</v>
      </c>
      <c r="E12" s="94" t="s">
        <v>225</v>
      </c>
      <c r="F12" s="94" t="s">
        <v>226</v>
      </c>
      <c r="G12" s="385" t="s">
        <v>227</v>
      </c>
      <c r="H12" s="94" t="s">
        <v>228</v>
      </c>
      <c r="I12" s="94" t="s">
        <v>229</v>
      </c>
    </row>
    <row r="13" spans="2:10" ht="41.25" customHeight="1" thickBot="1" x14ac:dyDescent="0.25">
      <c r="B13" s="695" t="s">
        <v>244</v>
      </c>
      <c r="C13" s="695"/>
      <c r="D13" s="119">
        <v>3.25</v>
      </c>
      <c r="E13" s="119">
        <v>3.63</v>
      </c>
      <c r="F13" s="31">
        <v>3.6</v>
      </c>
      <c r="G13" s="386">
        <v>3.6</v>
      </c>
      <c r="H13" s="119">
        <v>3.47</v>
      </c>
      <c r="I13" s="490" t="s">
        <v>260</v>
      </c>
    </row>
    <row r="14" spans="2:10" ht="41.25" customHeight="1" thickBot="1" x14ac:dyDescent="0.25">
      <c r="B14" s="695" t="s">
        <v>343</v>
      </c>
      <c r="C14" s="695"/>
      <c r="D14" s="119" t="s">
        <v>237</v>
      </c>
      <c r="E14" s="119" t="s">
        <v>237</v>
      </c>
      <c r="F14" s="31" t="s">
        <v>237</v>
      </c>
      <c r="G14" s="386" t="s">
        <v>237</v>
      </c>
      <c r="H14" s="119">
        <v>3.86</v>
      </c>
      <c r="I14" s="491" t="s">
        <v>260</v>
      </c>
    </row>
    <row r="15" spans="2:10" ht="41.25" customHeight="1" thickBot="1" x14ac:dyDescent="0.25">
      <c r="B15" s="695" t="s">
        <v>293</v>
      </c>
      <c r="C15" s="695"/>
      <c r="D15" s="119">
        <v>4</v>
      </c>
      <c r="E15" s="119">
        <v>2</v>
      </c>
      <c r="F15" s="31">
        <v>3.4</v>
      </c>
      <c r="G15" s="386">
        <v>4</v>
      </c>
      <c r="H15" s="119">
        <v>3.33</v>
      </c>
      <c r="I15" s="491" t="s">
        <v>260</v>
      </c>
    </row>
    <row r="16" spans="2:10" ht="41.25" customHeight="1" thickBot="1" x14ac:dyDescent="0.25">
      <c r="B16" s="695" t="s">
        <v>247</v>
      </c>
      <c r="C16" s="695"/>
      <c r="D16" s="119">
        <v>2.44</v>
      </c>
      <c r="E16" s="119">
        <v>4.2</v>
      </c>
      <c r="F16" s="31">
        <v>3.83</v>
      </c>
      <c r="G16" s="386">
        <v>2.5</v>
      </c>
      <c r="H16" s="119">
        <v>3.33</v>
      </c>
      <c r="I16" s="491" t="s">
        <v>260</v>
      </c>
    </row>
    <row r="17" spans="2:9" ht="41.25" customHeight="1" thickBot="1" x14ac:dyDescent="0.25">
      <c r="B17" s="695" t="s">
        <v>336</v>
      </c>
      <c r="C17" s="695"/>
      <c r="D17" s="119">
        <v>3</v>
      </c>
      <c r="E17" s="119">
        <v>2.95</v>
      </c>
      <c r="F17" s="31">
        <v>3.15</v>
      </c>
      <c r="G17" s="386">
        <v>2.67</v>
      </c>
      <c r="H17" s="119">
        <v>3.56</v>
      </c>
      <c r="I17" s="491" t="s">
        <v>260</v>
      </c>
    </row>
    <row r="18" spans="2:9" ht="41.25" customHeight="1" thickBot="1" x14ac:dyDescent="0.25">
      <c r="B18" s="695" t="s">
        <v>337</v>
      </c>
      <c r="C18" s="695"/>
      <c r="D18" s="119">
        <v>3.13</v>
      </c>
      <c r="E18" s="119">
        <v>3.25</v>
      </c>
      <c r="F18" s="56" t="s">
        <v>317</v>
      </c>
      <c r="G18" s="386">
        <v>3</v>
      </c>
      <c r="H18" s="119">
        <v>3.63</v>
      </c>
      <c r="I18" s="491" t="s">
        <v>260</v>
      </c>
    </row>
    <row r="19" spans="2:9" ht="41.25" customHeight="1" thickBot="1" x14ac:dyDescent="0.25">
      <c r="B19" s="695" t="s">
        <v>250</v>
      </c>
      <c r="C19" s="695"/>
      <c r="D19" s="119">
        <v>3.2</v>
      </c>
      <c r="E19" s="119">
        <v>3.71</v>
      </c>
      <c r="F19" s="56" t="s">
        <v>317</v>
      </c>
      <c r="G19" s="386">
        <v>3.5</v>
      </c>
      <c r="H19" s="120">
        <v>3.86</v>
      </c>
      <c r="I19" s="491" t="s">
        <v>260</v>
      </c>
    </row>
    <row r="20" spans="2:9" ht="41.25" customHeight="1" thickBot="1" x14ac:dyDescent="0.25">
      <c r="B20" s="751" t="s">
        <v>350</v>
      </c>
      <c r="C20" s="756"/>
      <c r="D20" s="119">
        <v>3.8</v>
      </c>
      <c r="E20" s="119">
        <v>3.33</v>
      </c>
      <c r="F20" s="56" t="s">
        <v>317</v>
      </c>
      <c r="G20" s="387" t="s">
        <v>317</v>
      </c>
      <c r="H20" s="119">
        <v>4.8600000000000003</v>
      </c>
      <c r="I20" s="491" t="s">
        <v>260</v>
      </c>
    </row>
    <row r="21" spans="2:9" ht="41.25" customHeight="1" thickBot="1" x14ac:dyDescent="0.25">
      <c r="B21" s="695" t="s">
        <v>252</v>
      </c>
      <c r="C21" s="695"/>
      <c r="D21" s="119">
        <v>3.64</v>
      </c>
      <c r="E21" s="119">
        <v>4.07</v>
      </c>
      <c r="F21" s="31">
        <v>3.55</v>
      </c>
      <c r="G21" s="386">
        <v>3.2</v>
      </c>
      <c r="H21" s="119">
        <v>4.03</v>
      </c>
      <c r="I21" s="491" t="s">
        <v>260</v>
      </c>
    </row>
    <row r="22" spans="2:9" ht="41.25" customHeight="1" thickBot="1" x14ac:dyDescent="0.25">
      <c r="B22" s="695" t="s">
        <v>253</v>
      </c>
      <c r="C22" s="695"/>
      <c r="D22" s="119">
        <v>3.4</v>
      </c>
      <c r="E22" s="119">
        <v>3.33</v>
      </c>
      <c r="F22" s="31">
        <v>3.4</v>
      </c>
      <c r="G22" s="386">
        <v>3</v>
      </c>
      <c r="H22" s="119">
        <v>3.64</v>
      </c>
      <c r="I22" s="491" t="s">
        <v>260</v>
      </c>
    </row>
    <row r="23" spans="2:9" ht="41.25" customHeight="1" thickBot="1" x14ac:dyDescent="0.25">
      <c r="B23" s="695" t="s">
        <v>254</v>
      </c>
      <c r="C23" s="695"/>
      <c r="D23" s="31" t="s">
        <v>317</v>
      </c>
      <c r="E23" s="119">
        <v>3.15</v>
      </c>
      <c r="F23" s="31">
        <v>3.17</v>
      </c>
      <c r="G23" s="386">
        <v>4</v>
      </c>
      <c r="H23" s="120">
        <v>3.32</v>
      </c>
      <c r="I23" s="491" t="s">
        <v>260</v>
      </c>
    </row>
    <row r="24" spans="2:9" ht="41.25" customHeight="1" thickBot="1" x14ac:dyDescent="0.25">
      <c r="B24" s="695" t="s">
        <v>267</v>
      </c>
      <c r="C24" s="695"/>
      <c r="D24" s="119">
        <v>3</v>
      </c>
      <c r="E24" s="119">
        <v>5</v>
      </c>
      <c r="F24" s="31">
        <v>3.83</v>
      </c>
      <c r="G24" s="387" t="s">
        <v>317</v>
      </c>
      <c r="H24" s="120">
        <v>3.72</v>
      </c>
      <c r="I24" s="491" t="s">
        <v>260</v>
      </c>
    </row>
    <row r="25" spans="2:9" ht="41.25" customHeight="1" thickBot="1" x14ac:dyDescent="0.25">
      <c r="B25" s="695" t="s">
        <v>298</v>
      </c>
      <c r="C25" s="695"/>
      <c r="D25" s="119">
        <v>3</v>
      </c>
      <c r="E25" s="119">
        <v>4</v>
      </c>
      <c r="F25" s="31" t="s">
        <v>559</v>
      </c>
      <c r="G25" s="387" t="s">
        <v>317</v>
      </c>
      <c r="H25" s="120">
        <v>3.75</v>
      </c>
      <c r="I25" s="491" t="s">
        <v>260</v>
      </c>
    </row>
    <row r="26" spans="2:9" ht="41.25" customHeight="1" thickBot="1" x14ac:dyDescent="0.25">
      <c r="B26" s="695" t="s">
        <v>281</v>
      </c>
      <c r="C26" s="695"/>
      <c r="D26" s="119">
        <v>5</v>
      </c>
      <c r="E26" s="119">
        <v>5</v>
      </c>
      <c r="F26" s="31">
        <v>4.22</v>
      </c>
      <c r="G26" s="387" t="s">
        <v>317</v>
      </c>
      <c r="H26" s="120">
        <v>4.09</v>
      </c>
      <c r="I26" s="491" t="s">
        <v>260</v>
      </c>
    </row>
    <row r="27" spans="2:9" ht="41.25" customHeight="1" thickBot="1" x14ac:dyDescent="0.25">
      <c r="B27" s="695" t="s">
        <v>270</v>
      </c>
      <c r="C27" s="695"/>
      <c r="D27" s="119">
        <v>4</v>
      </c>
      <c r="E27" s="56" t="s">
        <v>317</v>
      </c>
      <c r="F27" s="31" t="s">
        <v>296</v>
      </c>
      <c r="G27" s="386">
        <v>2</v>
      </c>
      <c r="H27" s="119">
        <v>3</v>
      </c>
      <c r="I27" s="491" t="s">
        <v>260</v>
      </c>
    </row>
    <row r="28" spans="2:9" ht="41.25" customHeight="1" thickBot="1" x14ac:dyDescent="0.25">
      <c r="B28" s="695" t="s">
        <v>283</v>
      </c>
      <c r="C28" s="695"/>
      <c r="D28" s="119">
        <v>3</v>
      </c>
      <c r="E28" s="119">
        <v>3.67</v>
      </c>
      <c r="F28" s="31" t="s">
        <v>296</v>
      </c>
      <c r="G28" s="386">
        <v>3</v>
      </c>
      <c r="H28" s="119">
        <v>3.78</v>
      </c>
      <c r="I28" s="491" t="s">
        <v>260</v>
      </c>
    </row>
    <row r="29" spans="2:9" ht="41.25" customHeight="1" thickBot="1" x14ac:dyDescent="0.25">
      <c r="B29" s="695" t="s">
        <v>271</v>
      </c>
      <c r="C29" s="695"/>
      <c r="D29" s="119">
        <v>5</v>
      </c>
      <c r="E29" s="119">
        <v>4</v>
      </c>
      <c r="F29" s="31" t="s">
        <v>296</v>
      </c>
      <c r="G29" s="387" t="s">
        <v>317</v>
      </c>
      <c r="H29" s="120" t="s">
        <v>237</v>
      </c>
      <c r="I29" s="491" t="s">
        <v>260</v>
      </c>
    </row>
    <row r="30" spans="2:9" ht="41.25" customHeight="1" thickBot="1" x14ac:dyDescent="0.25">
      <c r="B30" s="695" t="s">
        <v>285</v>
      </c>
      <c r="C30" s="695"/>
      <c r="D30" s="119">
        <v>2</v>
      </c>
      <c r="E30" s="119">
        <v>5</v>
      </c>
      <c r="F30" s="31" t="s">
        <v>296</v>
      </c>
      <c r="G30" s="386">
        <v>2.67</v>
      </c>
      <c r="H30" s="119">
        <v>3.77</v>
      </c>
      <c r="I30" s="491" t="s">
        <v>260</v>
      </c>
    </row>
    <row r="31" spans="2:9" ht="22.5" customHeight="1" thickBot="1" x14ac:dyDescent="0.25">
      <c r="B31" s="816" t="str">
        <f>D5</f>
        <v>≥3</v>
      </c>
      <c r="C31" s="816"/>
      <c r="D31" s="50">
        <f t="shared" ref="D31:H31" si="0">COUNTIF(D13:D30,"&gt;=3")</f>
        <v>14</v>
      </c>
      <c r="E31" s="50">
        <f t="shared" si="0"/>
        <v>14</v>
      </c>
      <c r="F31" s="50">
        <f t="shared" si="0"/>
        <v>9</v>
      </c>
      <c r="G31" s="50">
        <f t="shared" si="0"/>
        <v>8</v>
      </c>
      <c r="H31" s="332">
        <f t="shared" si="0"/>
        <v>17</v>
      </c>
      <c r="I31" s="491" t="s">
        <v>260</v>
      </c>
    </row>
    <row r="32" spans="2:9" ht="22.5" customHeight="1" x14ac:dyDescent="0.2">
      <c r="B32" s="689" t="s">
        <v>274</v>
      </c>
      <c r="C32" s="689"/>
      <c r="D32" s="50">
        <f t="shared" ref="D32:I32" si="1">COUNT(D13:D30)</f>
        <v>16</v>
      </c>
      <c r="E32" s="50">
        <f t="shared" si="1"/>
        <v>16</v>
      </c>
      <c r="F32" s="50">
        <f t="shared" si="1"/>
        <v>9</v>
      </c>
      <c r="G32" s="50">
        <f t="shared" si="1"/>
        <v>12</v>
      </c>
      <c r="H32" s="50">
        <f t="shared" si="1"/>
        <v>17</v>
      </c>
      <c r="I32" s="50">
        <f t="shared" si="1"/>
        <v>0</v>
      </c>
    </row>
    <row r="33" spans="2:14" ht="22.5" customHeight="1" x14ac:dyDescent="0.2">
      <c r="B33" s="45" t="s">
        <v>231</v>
      </c>
      <c r="C33" s="12" t="str">
        <f>D5</f>
        <v>≥3</v>
      </c>
      <c r="D33" s="62">
        <v>3</v>
      </c>
      <c r="E33" s="62">
        <v>3</v>
      </c>
      <c r="F33" s="62">
        <v>3</v>
      </c>
      <c r="G33" s="62">
        <v>3</v>
      </c>
      <c r="H33" s="62">
        <v>3</v>
      </c>
      <c r="I33" s="62">
        <v>3</v>
      </c>
    </row>
    <row r="34" spans="2:14" ht="22.5" customHeight="1" x14ac:dyDescent="0.2">
      <c r="B34" s="685" t="s">
        <v>232</v>
      </c>
      <c r="C34" s="735"/>
      <c r="D34" s="52">
        <f t="shared" ref="D34:I34" si="2">D31/D32</f>
        <v>0.875</v>
      </c>
      <c r="E34" s="52">
        <f t="shared" si="2"/>
        <v>0.875</v>
      </c>
      <c r="F34" s="508">
        <f t="shared" si="2"/>
        <v>1</v>
      </c>
      <c r="G34" s="52">
        <f t="shared" si="2"/>
        <v>0.66666666666666663</v>
      </c>
      <c r="H34" s="508">
        <f t="shared" si="2"/>
        <v>1</v>
      </c>
      <c r="I34" s="52" t="e">
        <f t="shared" si="2"/>
        <v>#VALUE!</v>
      </c>
    </row>
    <row r="35" spans="2:14" ht="22.5" customHeight="1" x14ac:dyDescent="0.25">
      <c r="B35" s="7"/>
      <c r="C35" s="7"/>
      <c r="D35" s="6"/>
      <c r="E35" s="6"/>
      <c r="F35" s="6"/>
      <c r="G35" s="6"/>
      <c r="H35" s="6"/>
      <c r="I35" s="6"/>
      <c r="J35" s="6"/>
    </row>
    <row r="36" spans="2:14" ht="22.5" customHeight="1" x14ac:dyDescent="0.2">
      <c r="B36" s="594" t="s">
        <v>233</v>
      </c>
      <c r="C36" s="595"/>
      <c r="D36" s="595"/>
      <c r="E36" s="596"/>
      <c r="F36" s="8"/>
      <c r="K36" s="594" t="s">
        <v>234</v>
      </c>
      <c r="L36" s="595"/>
      <c r="M36" s="595"/>
      <c r="N36" s="596"/>
    </row>
    <row r="37" spans="2:14" ht="22.5" customHeight="1" x14ac:dyDescent="0.2">
      <c r="B37" s="8"/>
      <c r="C37" s="8"/>
      <c r="D37" s="8"/>
      <c r="E37" s="8"/>
      <c r="F37" s="8"/>
      <c r="K37" s="9"/>
      <c r="L37" s="9"/>
      <c r="M37" s="9"/>
      <c r="N37" s="9"/>
    </row>
    <row r="38" spans="2:14" ht="6" customHeight="1" x14ac:dyDescent="0.2">
      <c r="B38" s="8"/>
      <c r="C38" s="8"/>
      <c r="D38" s="8"/>
      <c r="E38" s="8"/>
      <c r="F38" s="8"/>
      <c r="K38" s="634" t="s">
        <v>560</v>
      </c>
      <c r="L38" s="580"/>
      <c r="M38" s="580"/>
      <c r="N38" s="581"/>
    </row>
    <row r="39" spans="2:14" ht="19.5" customHeight="1" x14ac:dyDescent="0.2">
      <c r="B39" s="8"/>
      <c r="C39" s="8"/>
      <c r="D39" s="8"/>
      <c r="E39" s="8"/>
      <c r="F39" s="8"/>
      <c r="K39" s="582"/>
      <c r="L39" s="583"/>
      <c r="M39" s="583"/>
      <c r="N39" s="584"/>
    </row>
    <row r="40" spans="2:14" ht="19.5" customHeight="1" x14ac:dyDescent="0.2">
      <c r="B40" s="8"/>
      <c r="C40" s="8"/>
      <c r="D40" s="8"/>
      <c r="E40" s="8"/>
      <c r="F40" s="8"/>
      <c r="K40" s="582"/>
      <c r="L40" s="583"/>
      <c r="M40" s="583"/>
      <c r="N40" s="584"/>
    </row>
    <row r="41" spans="2:14" ht="19.5" customHeight="1" x14ac:dyDescent="0.2">
      <c r="B41" s="8"/>
      <c r="C41" s="8"/>
      <c r="D41" s="8"/>
      <c r="E41" s="8"/>
      <c r="F41" s="8"/>
      <c r="K41" s="582"/>
      <c r="L41" s="583"/>
      <c r="M41" s="583"/>
      <c r="N41" s="584"/>
    </row>
    <row r="42" spans="2:14" ht="19.5" customHeight="1" x14ac:dyDescent="0.2">
      <c r="B42" s="8"/>
      <c r="C42" s="8"/>
      <c r="D42" s="8"/>
      <c r="E42" s="8"/>
      <c r="F42" s="8"/>
      <c r="K42" s="582"/>
      <c r="L42" s="583"/>
      <c r="M42" s="583"/>
      <c r="N42" s="584"/>
    </row>
    <row r="43" spans="2:14" ht="19.5" customHeight="1" x14ac:dyDescent="0.2">
      <c r="B43" s="8"/>
      <c r="C43" s="8"/>
      <c r="D43" s="8"/>
      <c r="E43" s="8"/>
      <c r="F43" s="8"/>
      <c r="K43" s="582"/>
      <c r="L43" s="583"/>
      <c r="M43" s="583"/>
      <c r="N43" s="584"/>
    </row>
    <row r="44" spans="2:14" ht="19.5" customHeight="1" x14ac:dyDescent="0.2">
      <c r="B44" s="8"/>
      <c r="C44" s="8"/>
      <c r="D44" s="8"/>
      <c r="E44" s="8"/>
      <c r="F44" s="8"/>
      <c r="K44" s="582"/>
      <c r="L44" s="583"/>
      <c r="M44" s="583"/>
      <c r="N44" s="584"/>
    </row>
    <row r="45" spans="2:14" ht="19.5" customHeight="1" x14ac:dyDescent="0.2">
      <c r="B45" s="8"/>
      <c r="C45" s="8"/>
      <c r="D45" s="8"/>
      <c r="E45" s="8"/>
      <c r="F45" s="8"/>
      <c r="K45" s="582"/>
      <c r="L45" s="583"/>
      <c r="M45" s="583"/>
      <c r="N45" s="584"/>
    </row>
    <row r="46" spans="2:14" ht="19.5" customHeight="1" x14ac:dyDescent="0.2">
      <c r="B46" s="8"/>
      <c r="C46" s="8"/>
      <c r="D46" s="8"/>
      <c r="E46" s="8"/>
      <c r="F46" s="8"/>
      <c r="K46" s="585"/>
      <c r="L46" s="586"/>
      <c r="M46" s="586"/>
      <c r="N46" s="587"/>
    </row>
    <row r="47" spans="2:14" ht="19.5" customHeight="1" x14ac:dyDescent="0.2"/>
    <row r="48" spans="2:14" ht="19.5" customHeight="1" x14ac:dyDescent="0.2">
      <c r="H48" s="588" t="s">
        <v>172</v>
      </c>
      <c r="I48" s="589"/>
      <c r="J48" s="589"/>
    </row>
  </sheetData>
  <sheetProtection sheet="1" formatCells="0" formatColumns="0" formatRows="0" insertColumns="0" insertRows="0" insertHyperlinks="0" deleteColumns="0" deleteRows="0" pivotTables="0"/>
  <mergeCells count="41">
    <mergeCell ref="K38:N46"/>
    <mergeCell ref="H48:J48"/>
    <mergeCell ref="K36:N36"/>
    <mergeCell ref="B31:C31"/>
    <mergeCell ref="B32:C32"/>
    <mergeCell ref="B34:C34"/>
    <mergeCell ref="B36:E36"/>
    <mergeCell ref="B30:C30"/>
    <mergeCell ref="B18:C18"/>
    <mergeCell ref="B19:C19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20:C20"/>
    <mergeCell ref="B17:C17"/>
    <mergeCell ref="B7:C7"/>
    <mergeCell ref="D7:J7"/>
    <mergeCell ref="B9:J9"/>
    <mergeCell ref="B13:C13"/>
    <mergeCell ref="B14:C14"/>
    <mergeCell ref="B15:C15"/>
    <mergeCell ref="B16:C16"/>
    <mergeCell ref="B5:C5"/>
    <mergeCell ref="D5:E5"/>
    <mergeCell ref="F5:G5"/>
    <mergeCell ref="H5:J5"/>
    <mergeCell ref="B6:C6"/>
    <mergeCell ref="D6:E6"/>
    <mergeCell ref="F6:G6"/>
    <mergeCell ref="B2:D2"/>
    <mergeCell ref="E2:J2"/>
    <mergeCell ref="B4:C4"/>
    <mergeCell ref="D4:E4"/>
    <mergeCell ref="F4:G4"/>
    <mergeCell ref="H4:J4"/>
  </mergeCells>
  <conditionalFormatting sqref="D13:G30">
    <cfRule type="cellIs" dxfId="22" priority="3" operator="between">
      <formula>0</formula>
      <formula>2.7</formula>
    </cfRule>
  </conditionalFormatting>
  <conditionalFormatting sqref="H13:H14">
    <cfRule type="cellIs" dxfId="21" priority="1" operator="between">
      <formula>0</formula>
      <formula>2.7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D79A1-FB2D-4DA2-BBD3-5AB76F20BBE5}">
  <sheetPr>
    <tabColor theme="9" tint="-0.499984740745262"/>
    <pageSetUpPr fitToPage="1"/>
  </sheetPr>
  <dimension ref="B2:N29"/>
  <sheetViews>
    <sheetView showGridLines="0" topLeftCell="A13" workbookViewId="0">
      <selection activeCell="H15" sqref="H15"/>
    </sheetView>
  </sheetViews>
  <sheetFormatPr defaultColWidth="12.5703125" defaultRowHeight="15.75" customHeight="1" x14ac:dyDescent="0.2"/>
  <cols>
    <col min="1" max="1" width="3.42578125" customWidth="1"/>
    <col min="2" max="2" width="14.140625" customWidth="1"/>
    <col min="3" max="3" width="12.5703125" customWidth="1"/>
    <col min="4" max="4" width="17.28515625" bestFit="1" customWidth="1"/>
    <col min="5" max="9" width="12.5703125" customWidth="1"/>
    <col min="10" max="10" width="36.28515625" customWidth="1"/>
    <col min="11" max="20" width="7.5703125" customWidth="1"/>
  </cols>
  <sheetData>
    <row r="2" spans="2:10" ht="55.5" customHeight="1" x14ac:dyDescent="0.2">
      <c r="B2" s="670"/>
      <c r="C2" s="671"/>
      <c r="D2" s="672"/>
      <c r="E2" s="673" t="s">
        <v>213</v>
      </c>
      <c r="F2" s="671"/>
      <c r="G2" s="671"/>
      <c r="H2" s="671"/>
      <c r="I2" s="671"/>
      <c r="J2" s="672"/>
    </row>
    <row r="3" spans="2:10" ht="22.5" customHeight="1" x14ac:dyDescent="0.2">
      <c r="B3" s="46"/>
      <c r="C3" s="46"/>
      <c r="D3" s="47"/>
      <c r="E3" s="47"/>
      <c r="F3" s="47"/>
      <c r="G3" s="47"/>
      <c r="H3" s="47"/>
      <c r="I3" s="47"/>
    </row>
    <row r="4" spans="2:10" ht="42" customHeight="1" x14ac:dyDescent="0.2">
      <c r="B4" s="594" t="s">
        <v>214</v>
      </c>
      <c r="C4" s="596"/>
      <c r="D4" s="674" t="str">
        <f>Índex!B60</f>
        <v>PS4.03_Ind05.</v>
      </c>
      <c r="E4" s="672"/>
      <c r="F4" s="594" t="s">
        <v>215</v>
      </c>
      <c r="G4" s="596"/>
      <c r="H4" s="674" t="str">
        <f>Índex!C60</f>
        <v xml:space="preserve"> Número d'accions polítiques que s'han fet amb les coordinacions (Pla Estratègic 2022/2023 fins 2024/2025)</v>
      </c>
      <c r="I4" s="671"/>
      <c r="J4" s="672"/>
    </row>
    <row r="5" spans="2:10" ht="22.5" customHeight="1" x14ac:dyDescent="0.2">
      <c r="B5" s="594" t="s">
        <v>323</v>
      </c>
      <c r="C5" s="596"/>
      <c r="D5" s="674">
        <f>Índex!F60</f>
        <v>4</v>
      </c>
      <c r="E5" s="672"/>
      <c r="F5" s="732" t="s">
        <v>217</v>
      </c>
      <c r="G5" s="596"/>
      <c r="H5" s="843" t="s">
        <v>236</v>
      </c>
      <c r="I5" s="868"/>
      <c r="J5" s="844"/>
    </row>
    <row r="6" spans="2:10" ht="22.5" customHeight="1" x14ac:dyDescent="0.2">
      <c r="B6" s="594" t="s">
        <v>219</v>
      </c>
      <c r="C6" s="596"/>
      <c r="D6" s="674" t="s">
        <v>220</v>
      </c>
      <c r="E6" s="672"/>
      <c r="F6" s="594" t="s">
        <v>242</v>
      </c>
      <c r="G6" s="596"/>
      <c r="H6" s="107" t="str">
        <f>Índex!E60</f>
        <v xml:space="preserve">Secretària de Deganat </v>
      </c>
      <c r="J6" s="108"/>
    </row>
    <row r="7" spans="2:10" ht="22.5" customHeight="1" x14ac:dyDescent="0.2">
      <c r="B7" s="594" t="s">
        <v>222</v>
      </c>
      <c r="C7" s="596"/>
      <c r="D7" s="674" t="str">
        <f>Índex!G60</f>
        <v xml:space="preserve">PS4.03. Gestió de la Política de PDI  </v>
      </c>
      <c r="E7" s="671"/>
      <c r="F7" s="671"/>
      <c r="G7" s="671"/>
      <c r="H7" s="671"/>
      <c r="I7" s="671"/>
      <c r="J7" s="672"/>
    </row>
    <row r="8" spans="2:10" ht="7.5" customHeight="1" x14ac:dyDescent="0.2"/>
    <row r="9" spans="2:10" ht="22.5" customHeight="1" x14ac:dyDescent="0.2">
      <c r="B9" s="594" t="s">
        <v>223</v>
      </c>
      <c r="C9" s="595"/>
      <c r="D9" s="595"/>
      <c r="E9" s="595"/>
      <c r="F9" s="595"/>
      <c r="G9" s="595"/>
      <c r="H9" s="595"/>
      <c r="I9" s="595"/>
      <c r="J9" s="596"/>
    </row>
    <row r="10" spans="2:10" ht="22.5" customHeight="1" x14ac:dyDescent="0.2">
      <c r="B10" s="14"/>
      <c r="C10" s="13"/>
      <c r="D10" s="13"/>
      <c r="E10" s="13"/>
      <c r="F10" s="13"/>
      <c r="G10" s="13"/>
      <c r="H10" s="13"/>
      <c r="I10" s="13"/>
      <c r="J10" s="13"/>
    </row>
    <row r="11" spans="2:10" ht="22.5" customHeight="1" x14ac:dyDescent="0.2"/>
    <row r="12" spans="2:10" ht="22.5" customHeight="1" x14ac:dyDescent="0.2">
      <c r="B12" s="16"/>
      <c r="C12" s="16"/>
      <c r="D12" s="94" t="s">
        <v>225</v>
      </c>
      <c r="E12" s="94" t="s">
        <v>226</v>
      </c>
      <c r="F12" s="94" t="s">
        <v>227</v>
      </c>
      <c r="G12" s="94" t="s">
        <v>228</v>
      </c>
      <c r="H12" s="94" t="s">
        <v>229</v>
      </c>
      <c r="I12" s="24"/>
    </row>
    <row r="13" spans="2:10" ht="41.25" customHeight="1" x14ac:dyDescent="0.2">
      <c r="B13" s="695" t="s">
        <v>561</v>
      </c>
      <c r="C13" s="751"/>
      <c r="D13" s="271" t="s">
        <v>237</v>
      </c>
      <c r="E13" s="271" t="s">
        <v>237</v>
      </c>
      <c r="F13" s="272" t="s">
        <v>237</v>
      </c>
      <c r="G13" s="272" t="s">
        <v>237</v>
      </c>
      <c r="H13" s="272">
        <v>3</v>
      </c>
      <c r="I13" s="18" t="s">
        <v>260</v>
      </c>
      <c r="J13" s="126"/>
    </row>
    <row r="14" spans="2:10" ht="22.5" customHeight="1" x14ac:dyDescent="0.2">
      <c r="B14" s="45" t="s">
        <v>231</v>
      </c>
      <c r="C14" s="12">
        <f>D5</f>
        <v>4</v>
      </c>
      <c r="D14" s="273">
        <v>4</v>
      </c>
      <c r="E14" s="273">
        <v>4</v>
      </c>
      <c r="F14" s="273">
        <v>4</v>
      </c>
      <c r="G14" s="274">
        <v>4</v>
      </c>
      <c r="H14" s="273">
        <v>4</v>
      </c>
      <c r="I14" s="25"/>
    </row>
    <row r="15" spans="2:10" ht="22.5" customHeight="1" x14ac:dyDescent="0.2">
      <c r="B15" s="685" t="s">
        <v>232</v>
      </c>
      <c r="C15" s="735"/>
      <c r="D15" s="48"/>
      <c r="E15" s="48"/>
      <c r="F15" s="48"/>
      <c r="G15" s="268"/>
      <c r="H15" s="48">
        <f>H13/H14</f>
        <v>0.75</v>
      </c>
      <c r="I15" s="26"/>
    </row>
    <row r="17" spans="2:14" ht="22.5" customHeight="1" x14ac:dyDescent="0.2">
      <c r="B17" s="594" t="s">
        <v>233</v>
      </c>
      <c r="C17" s="595"/>
      <c r="D17" s="595"/>
      <c r="E17" s="596"/>
      <c r="F17" s="8"/>
      <c r="K17" s="594" t="s">
        <v>234</v>
      </c>
      <c r="L17" s="595"/>
      <c r="M17" s="595"/>
      <c r="N17" s="596"/>
    </row>
    <row r="18" spans="2:14" ht="22.5" customHeight="1" x14ac:dyDescent="0.2">
      <c r="B18" s="8"/>
      <c r="C18" s="8"/>
      <c r="D18" s="8"/>
      <c r="E18" s="8"/>
      <c r="F18" s="8"/>
      <c r="K18" s="9"/>
      <c r="L18" s="9"/>
      <c r="M18" s="9"/>
      <c r="N18" s="9"/>
    </row>
    <row r="19" spans="2:14" ht="6" customHeight="1" x14ac:dyDescent="0.2">
      <c r="B19" s="8"/>
      <c r="C19" s="8"/>
      <c r="D19" s="8"/>
      <c r="E19" s="8"/>
      <c r="F19" s="8"/>
      <c r="K19" s="634" t="s">
        <v>562</v>
      </c>
      <c r="L19" s="580"/>
      <c r="M19" s="580"/>
      <c r="N19" s="581"/>
    </row>
    <row r="20" spans="2:14" ht="19.5" customHeight="1" x14ac:dyDescent="0.2">
      <c r="B20" s="8"/>
      <c r="C20" s="8"/>
      <c r="D20" s="8"/>
      <c r="E20" s="8"/>
      <c r="F20" s="8"/>
      <c r="K20" s="582"/>
      <c r="L20" s="583"/>
      <c r="M20" s="583"/>
      <c r="N20" s="584"/>
    </row>
    <row r="21" spans="2:14" ht="19.5" customHeight="1" x14ac:dyDescent="0.2">
      <c r="B21" s="8"/>
      <c r="C21" s="8"/>
      <c r="D21" s="8"/>
      <c r="E21" s="8"/>
      <c r="F21" s="8"/>
      <c r="K21" s="582"/>
      <c r="L21" s="583"/>
      <c r="M21" s="583"/>
      <c r="N21" s="584"/>
    </row>
    <row r="22" spans="2:14" ht="19.5" customHeight="1" x14ac:dyDescent="0.2">
      <c r="B22" s="8"/>
      <c r="C22" s="8"/>
      <c r="D22" s="8"/>
      <c r="E22" s="8"/>
      <c r="F22" s="8"/>
      <c r="K22" s="582"/>
      <c r="L22" s="583"/>
      <c r="M22" s="583"/>
      <c r="N22" s="584"/>
    </row>
    <row r="23" spans="2:14" ht="19.5" customHeight="1" x14ac:dyDescent="0.2">
      <c r="B23" s="8"/>
      <c r="C23" s="8"/>
      <c r="D23" s="8"/>
      <c r="E23" s="8"/>
      <c r="F23" s="8"/>
      <c r="K23" s="582"/>
      <c r="L23" s="583"/>
      <c r="M23" s="583"/>
      <c r="N23" s="584"/>
    </row>
    <row r="24" spans="2:14" ht="19.5" customHeight="1" x14ac:dyDescent="0.2">
      <c r="B24" s="8"/>
      <c r="C24" s="8"/>
      <c r="D24" s="8"/>
      <c r="E24" s="8"/>
      <c r="F24" s="8"/>
      <c r="K24" s="582"/>
      <c r="L24" s="583"/>
      <c r="M24" s="583"/>
      <c r="N24" s="584"/>
    </row>
    <row r="25" spans="2:14" ht="19.5" customHeight="1" x14ac:dyDescent="0.2">
      <c r="B25" s="8"/>
      <c r="C25" s="8"/>
      <c r="D25" s="8"/>
      <c r="E25" s="8"/>
      <c r="F25" s="8"/>
      <c r="K25" s="582"/>
      <c r="L25" s="583"/>
      <c r="M25" s="583"/>
      <c r="N25" s="584"/>
    </row>
    <row r="26" spans="2:14" ht="19.5" customHeight="1" x14ac:dyDescent="0.2">
      <c r="B26" s="8"/>
      <c r="C26" s="8"/>
      <c r="D26" s="8"/>
      <c r="E26" s="8"/>
      <c r="F26" s="8"/>
      <c r="K26" s="582"/>
      <c r="L26" s="583"/>
      <c r="M26" s="583"/>
      <c r="N26" s="584"/>
    </row>
    <row r="27" spans="2:14" ht="19.5" customHeight="1" x14ac:dyDescent="0.2">
      <c r="B27" s="8"/>
      <c r="C27" s="8"/>
      <c r="D27" s="8"/>
      <c r="E27" s="8"/>
      <c r="F27" s="8"/>
      <c r="K27" s="585"/>
      <c r="L27" s="586"/>
      <c r="M27" s="586"/>
      <c r="N27" s="587"/>
    </row>
    <row r="28" spans="2:14" ht="19.5" customHeight="1" x14ac:dyDescent="0.2"/>
    <row r="29" spans="2:14" ht="19.5" customHeight="1" x14ac:dyDescent="0.2">
      <c r="H29" s="588" t="s">
        <v>172</v>
      </c>
      <c r="I29" s="589"/>
      <c r="J29" s="589"/>
    </row>
  </sheetData>
  <sheetProtection sheet="1" formatCells="0" formatColumns="0" formatRows="0" insertColumns="0" insertRows="0" insertHyperlinks="0" deleteColumns="0" deleteRows="0" pivotTables="0"/>
  <mergeCells count="22">
    <mergeCell ref="K17:N17"/>
    <mergeCell ref="K19:N27"/>
    <mergeCell ref="H29:J29"/>
    <mergeCell ref="B15:C15"/>
    <mergeCell ref="B17:E17"/>
    <mergeCell ref="B7:C7"/>
    <mergeCell ref="D7:J7"/>
    <mergeCell ref="B9:J9"/>
    <mergeCell ref="B13:C13"/>
    <mergeCell ref="B5:C5"/>
    <mergeCell ref="D5:E5"/>
    <mergeCell ref="F5:G5"/>
    <mergeCell ref="H5:J5"/>
    <mergeCell ref="B6:C6"/>
    <mergeCell ref="D6:E6"/>
    <mergeCell ref="F6:G6"/>
    <mergeCell ref="B2:D2"/>
    <mergeCell ref="E2:J2"/>
    <mergeCell ref="B4:C4"/>
    <mergeCell ref="D4:E4"/>
    <mergeCell ref="F4:G4"/>
    <mergeCell ref="H4:J4"/>
  </mergeCells>
  <conditionalFormatting sqref="D13:H13">
    <cfRule type="cellIs" dxfId="20" priority="1" operator="lessThan">
      <formula>0.55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6601E-48F3-45DC-BF2C-F8637E188874}">
  <sheetPr>
    <tabColor theme="9" tint="-0.499984740745262"/>
    <pageSetUpPr fitToPage="1"/>
  </sheetPr>
  <dimension ref="B2:N29"/>
  <sheetViews>
    <sheetView showGridLines="0" topLeftCell="A13" workbookViewId="0">
      <selection activeCell="H14" sqref="H14"/>
    </sheetView>
  </sheetViews>
  <sheetFormatPr defaultColWidth="12.5703125" defaultRowHeight="15.75" customHeight="1" x14ac:dyDescent="0.2"/>
  <cols>
    <col min="1" max="1" width="3.42578125" customWidth="1"/>
    <col min="2" max="2" width="14.140625" customWidth="1"/>
    <col min="3" max="3" width="12.5703125" customWidth="1"/>
    <col min="4" max="4" width="17.28515625" bestFit="1" customWidth="1"/>
    <col min="5" max="9" width="12.5703125" customWidth="1"/>
    <col min="10" max="10" width="36.28515625" customWidth="1"/>
    <col min="11" max="20" width="7.5703125" customWidth="1"/>
  </cols>
  <sheetData>
    <row r="2" spans="2:10" ht="55.5" customHeight="1" x14ac:dyDescent="0.2">
      <c r="B2" s="670"/>
      <c r="C2" s="671"/>
      <c r="D2" s="672"/>
      <c r="E2" s="673" t="s">
        <v>213</v>
      </c>
      <c r="F2" s="671"/>
      <c r="G2" s="671"/>
      <c r="H2" s="671"/>
      <c r="I2" s="671"/>
      <c r="J2" s="672"/>
    </row>
    <row r="3" spans="2:10" ht="22.5" customHeight="1" x14ac:dyDescent="0.2">
      <c r="B3" s="46"/>
      <c r="C3" s="46"/>
      <c r="D3" s="47"/>
      <c r="E3" s="47"/>
      <c r="F3" s="47"/>
      <c r="G3" s="47"/>
      <c r="H3" s="47"/>
      <c r="I3" s="47"/>
    </row>
    <row r="4" spans="2:10" ht="42" customHeight="1" x14ac:dyDescent="0.2">
      <c r="B4" s="594" t="s">
        <v>214</v>
      </c>
      <c r="C4" s="596"/>
      <c r="D4" s="674" t="str">
        <f>Índex!B61</f>
        <v>PS4.03_Ind06.</v>
      </c>
      <c r="E4" s="672"/>
      <c r="F4" s="594" t="s">
        <v>215</v>
      </c>
      <c r="G4" s="596"/>
      <c r="H4" s="674" t="str">
        <f>Índex!C61</f>
        <v>Número de reunions fetes entre el Deganat i totes les direccions de Departament de la Facultat per ajudar al seguiment del Pla estratègic del nou equip de Deganat  (2022/2023 a 2024/2025)</v>
      </c>
      <c r="I4" s="671"/>
      <c r="J4" s="672"/>
    </row>
    <row r="5" spans="2:10" ht="22.5" customHeight="1" x14ac:dyDescent="0.2">
      <c r="B5" s="594" t="s">
        <v>323</v>
      </c>
      <c r="C5" s="596"/>
      <c r="D5" s="674" t="str">
        <f>Índex!F61</f>
        <v>1 bimensual</v>
      </c>
      <c r="E5" s="672"/>
      <c r="F5" s="732" t="s">
        <v>217</v>
      </c>
      <c r="G5" s="596"/>
      <c r="H5" s="843" t="s">
        <v>236</v>
      </c>
      <c r="I5" s="868"/>
      <c r="J5" s="844"/>
    </row>
    <row r="6" spans="2:10" ht="22.5" customHeight="1" x14ac:dyDescent="0.2">
      <c r="B6" s="594" t="s">
        <v>219</v>
      </c>
      <c r="C6" s="596"/>
      <c r="D6" s="674" t="s">
        <v>220</v>
      </c>
      <c r="E6" s="672"/>
      <c r="F6" s="594" t="s">
        <v>242</v>
      </c>
      <c r="G6" s="596"/>
      <c r="H6" s="107" t="str">
        <f>Índex!E61</f>
        <v xml:space="preserve">Secretària de Deganat </v>
      </c>
      <c r="J6" s="108"/>
    </row>
    <row r="7" spans="2:10" ht="22.5" customHeight="1" x14ac:dyDescent="0.2">
      <c r="B7" s="594" t="s">
        <v>222</v>
      </c>
      <c r="C7" s="596"/>
      <c r="D7" s="674" t="str">
        <f>Índex!G61</f>
        <v xml:space="preserve">PS4.03. Gestió de la Política de PDI  </v>
      </c>
      <c r="E7" s="671"/>
      <c r="F7" s="671"/>
      <c r="G7" s="671"/>
      <c r="H7" s="671"/>
      <c r="I7" s="671"/>
      <c r="J7" s="672"/>
    </row>
    <row r="8" spans="2:10" ht="7.5" customHeight="1" x14ac:dyDescent="0.2"/>
    <row r="9" spans="2:10" ht="22.5" customHeight="1" x14ac:dyDescent="0.2">
      <c r="B9" s="594" t="s">
        <v>223</v>
      </c>
      <c r="C9" s="595"/>
      <c r="D9" s="595"/>
      <c r="E9" s="595"/>
      <c r="F9" s="595"/>
      <c r="G9" s="595"/>
      <c r="H9" s="595"/>
      <c r="I9" s="595"/>
      <c r="J9" s="596"/>
    </row>
    <row r="10" spans="2:10" ht="22.5" customHeight="1" x14ac:dyDescent="0.2">
      <c r="B10" s="14"/>
      <c r="C10" s="13"/>
      <c r="D10" s="13"/>
      <c r="E10" s="13"/>
      <c r="F10" s="13"/>
      <c r="G10" s="13"/>
      <c r="H10" s="13"/>
      <c r="I10" s="13"/>
      <c r="J10" s="13"/>
    </row>
    <row r="11" spans="2:10" ht="22.5" customHeight="1" x14ac:dyDescent="0.2"/>
    <row r="12" spans="2:10" ht="22.5" customHeight="1" x14ac:dyDescent="0.2">
      <c r="B12" s="16"/>
      <c r="C12" s="16"/>
      <c r="D12" s="94" t="s">
        <v>225</v>
      </c>
      <c r="E12" s="94" t="s">
        <v>226</v>
      </c>
      <c r="F12" s="94" t="s">
        <v>227</v>
      </c>
      <c r="G12" s="94" t="s">
        <v>228</v>
      </c>
      <c r="H12" s="94" t="s">
        <v>229</v>
      </c>
      <c r="I12" s="24"/>
    </row>
    <row r="13" spans="2:10" ht="41.25" customHeight="1" x14ac:dyDescent="0.2">
      <c r="B13" s="695" t="s">
        <v>563</v>
      </c>
      <c r="C13" s="751"/>
      <c r="D13" s="271" t="s">
        <v>237</v>
      </c>
      <c r="E13" s="271" t="s">
        <v>237</v>
      </c>
      <c r="F13" s="272" t="s">
        <v>237</v>
      </c>
      <c r="G13" s="272" t="s">
        <v>237</v>
      </c>
      <c r="H13" s="272">
        <v>25</v>
      </c>
      <c r="I13" s="18"/>
      <c r="J13" s="126"/>
    </row>
    <row r="14" spans="2:10" ht="22.5" customHeight="1" x14ac:dyDescent="0.2">
      <c r="B14" s="45" t="s">
        <v>231</v>
      </c>
      <c r="C14" s="492" t="s">
        <v>564</v>
      </c>
      <c r="D14" s="492">
        <v>24</v>
      </c>
      <c r="E14" s="492">
        <v>24</v>
      </c>
      <c r="F14" s="492">
        <v>24</v>
      </c>
      <c r="G14" s="492">
        <v>24</v>
      </c>
      <c r="H14" s="492">
        <v>24</v>
      </c>
      <c r="I14" s="25"/>
    </row>
    <row r="15" spans="2:10" ht="22.5" customHeight="1" x14ac:dyDescent="0.2">
      <c r="B15" s="685" t="s">
        <v>232</v>
      </c>
      <c r="C15" s="735"/>
      <c r="D15" s="48" t="s">
        <v>237</v>
      </c>
      <c r="E15" s="48" t="s">
        <v>237</v>
      </c>
      <c r="F15" s="48" t="s">
        <v>237</v>
      </c>
      <c r="G15" s="268" t="s">
        <v>237</v>
      </c>
      <c r="H15" s="48">
        <f>H13/H14</f>
        <v>1.0416666666666667</v>
      </c>
      <c r="I15" s="26"/>
    </row>
    <row r="17" spans="2:14" ht="22.5" customHeight="1" x14ac:dyDescent="0.2">
      <c r="B17" s="594" t="s">
        <v>233</v>
      </c>
      <c r="C17" s="595"/>
      <c r="D17" s="595"/>
      <c r="E17" s="596"/>
      <c r="F17" s="8"/>
      <c r="K17" s="594" t="s">
        <v>234</v>
      </c>
      <c r="L17" s="595"/>
      <c r="M17" s="595"/>
      <c r="N17" s="596"/>
    </row>
    <row r="18" spans="2:14" ht="22.5" customHeight="1" x14ac:dyDescent="0.2">
      <c r="B18" s="8"/>
      <c r="C18" s="8"/>
      <c r="D18" s="8"/>
      <c r="E18" s="8"/>
      <c r="F18" s="8"/>
      <c r="K18" s="9"/>
      <c r="L18" s="9"/>
      <c r="M18" s="9"/>
      <c r="N18" s="9"/>
    </row>
    <row r="19" spans="2:14" ht="6" customHeight="1" x14ac:dyDescent="0.2">
      <c r="B19" s="8"/>
      <c r="C19" s="8"/>
      <c r="D19" s="8"/>
      <c r="E19" s="8"/>
      <c r="F19" s="8"/>
      <c r="K19" s="634" t="s">
        <v>172</v>
      </c>
      <c r="L19" s="580"/>
      <c r="M19" s="580"/>
      <c r="N19" s="581"/>
    </row>
    <row r="20" spans="2:14" ht="19.5" customHeight="1" x14ac:dyDescent="0.2">
      <c r="B20" s="8"/>
      <c r="C20" s="8"/>
      <c r="D20" s="8"/>
      <c r="E20" s="8"/>
      <c r="F20" s="8"/>
      <c r="K20" s="582"/>
      <c r="L20" s="583"/>
      <c r="M20" s="583"/>
      <c r="N20" s="584"/>
    </row>
    <row r="21" spans="2:14" ht="19.5" customHeight="1" x14ac:dyDescent="0.2">
      <c r="B21" s="8"/>
      <c r="C21" s="8"/>
      <c r="D21" s="8"/>
      <c r="E21" s="8"/>
      <c r="F21" s="8"/>
      <c r="K21" s="582"/>
      <c r="L21" s="583"/>
      <c r="M21" s="583"/>
      <c r="N21" s="584"/>
    </row>
    <row r="22" spans="2:14" ht="19.5" customHeight="1" x14ac:dyDescent="0.2">
      <c r="B22" s="8"/>
      <c r="C22" s="8"/>
      <c r="D22" s="8"/>
      <c r="E22" s="8"/>
      <c r="F22" s="8"/>
      <c r="K22" s="582"/>
      <c r="L22" s="583"/>
      <c r="M22" s="583"/>
      <c r="N22" s="584"/>
    </row>
    <row r="23" spans="2:14" ht="19.5" customHeight="1" x14ac:dyDescent="0.2">
      <c r="B23" s="8"/>
      <c r="C23" s="8"/>
      <c r="D23" s="8"/>
      <c r="E23" s="8"/>
      <c r="F23" s="8"/>
      <c r="K23" s="582"/>
      <c r="L23" s="583"/>
      <c r="M23" s="583"/>
      <c r="N23" s="584"/>
    </row>
    <row r="24" spans="2:14" ht="19.5" customHeight="1" x14ac:dyDescent="0.2">
      <c r="B24" s="8"/>
      <c r="C24" s="8"/>
      <c r="D24" s="8"/>
      <c r="E24" s="8"/>
      <c r="F24" s="8"/>
      <c r="K24" s="582"/>
      <c r="L24" s="583"/>
      <c r="M24" s="583"/>
      <c r="N24" s="584"/>
    </row>
    <row r="25" spans="2:14" ht="19.5" customHeight="1" x14ac:dyDescent="0.2">
      <c r="B25" s="8"/>
      <c r="C25" s="8"/>
      <c r="D25" s="8"/>
      <c r="E25" s="8"/>
      <c r="F25" s="8"/>
      <c r="K25" s="582"/>
      <c r="L25" s="583"/>
      <c r="M25" s="583"/>
      <c r="N25" s="584"/>
    </row>
    <row r="26" spans="2:14" ht="19.5" customHeight="1" x14ac:dyDescent="0.2">
      <c r="B26" s="8"/>
      <c r="C26" s="8"/>
      <c r="D26" s="8"/>
      <c r="E26" s="8"/>
      <c r="F26" s="8"/>
      <c r="K26" s="582"/>
      <c r="L26" s="583"/>
      <c r="M26" s="583"/>
      <c r="N26" s="584"/>
    </row>
    <row r="27" spans="2:14" ht="19.5" customHeight="1" x14ac:dyDescent="0.2">
      <c r="B27" s="8"/>
      <c r="C27" s="8"/>
      <c r="D27" s="8"/>
      <c r="E27" s="8"/>
      <c r="F27" s="8"/>
      <c r="K27" s="585"/>
      <c r="L27" s="586"/>
      <c r="M27" s="586"/>
      <c r="N27" s="587"/>
    </row>
    <row r="28" spans="2:14" ht="19.5" customHeight="1" x14ac:dyDescent="0.2"/>
    <row r="29" spans="2:14" ht="19.5" customHeight="1" x14ac:dyDescent="0.2">
      <c r="H29" s="588" t="s">
        <v>172</v>
      </c>
      <c r="I29" s="589"/>
      <c r="J29" s="589"/>
    </row>
  </sheetData>
  <sheetProtection sheet="1" formatCells="0" formatColumns="0" formatRows="0" insertColumns="0" insertRows="0" insertHyperlinks="0" deleteColumns="0" deleteRows="0" pivotTables="0"/>
  <mergeCells count="22">
    <mergeCell ref="H29:J29"/>
    <mergeCell ref="F6:G6"/>
    <mergeCell ref="B15:C15"/>
    <mergeCell ref="B17:E17"/>
    <mergeCell ref="K17:N17"/>
    <mergeCell ref="K19:N27"/>
    <mergeCell ref="B7:C7"/>
    <mergeCell ref="D7:J7"/>
    <mergeCell ref="B9:J9"/>
    <mergeCell ref="B13:C13"/>
    <mergeCell ref="B2:D2"/>
    <mergeCell ref="E2:J2"/>
    <mergeCell ref="B4:C4"/>
    <mergeCell ref="D4:E4"/>
    <mergeCell ref="F4:G4"/>
    <mergeCell ref="H4:J4"/>
    <mergeCell ref="B5:C5"/>
    <mergeCell ref="D5:E5"/>
    <mergeCell ref="F5:G5"/>
    <mergeCell ref="H5:J5"/>
    <mergeCell ref="B6:C6"/>
    <mergeCell ref="D6:E6"/>
  </mergeCells>
  <phoneticPr fontId="25" type="noConversion"/>
  <conditionalFormatting sqref="D13:H13">
    <cfRule type="cellIs" dxfId="19" priority="1" operator="lessThan">
      <formula>0.55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E5E8F-2DE0-408B-9F71-6DAF5E57C987}">
  <sheetPr>
    <tabColor theme="9" tint="-0.499984740745262"/>
    <pageSetUpPr fitToPage="1"/>
  </sheetPr>
  <dimension ref="B2:J30"/>
  <sheetViews>
    <sheetView showGridLines="0" topLeftCell="A10" workbookViewId="0">
      <selection activeCell="F13" sqref="F13:F14"/>
    </sheetView>
  </sheetViews>
  <sheetFormatPr defaultColWidth="12.5703125" defaultRowHeight="15.75" customHeight="1" x14ac:dyDescent="0.2"/>
  <cols>
    <col min="1" max="1" width="3.42578125" customWidth="1"/>
    <col min="2" max="2" width="14.140625" customWidth="1"/>
    <col min="3" max="3" width="12.5703125" customWidth="1"/>
    <col min="4" max="4" width="17.28515625" bestFit="1" customWidth="1"/>
    <col min="5" max="9" width="12.5703125" customWidth="1"/>
    <col min="10" max="10" width="36.28515625" customWidth="1"/>
    <col min="11" max="11" width="8.85546875" customWidth="1"/>
    <col min="12" max="21" width="7.5703125" customWidth="1"/>
  </cols>
  <sheetData>
    <row r="2" spans="2:10" ht="55.5" customHeight="1" x14ac:dyDescent="0.2">
      <c r="B2" s="670"/>
      <c r="C2" s="671"/>
      <c r="D2" s="672"/>
      <c r="E2" s="673" t="s">
        <v>213</v>
      </c>
      <c r="F2" s="671"/>
      <c r="G2" s="671"/>
      <c r="H2" s="671"/>
      <c r="I2" s="671"/>
      <c r="J2" s="672"/>
    </row>
    <row r="3" spans="2:10" ht="22.5" customHeight="1" x14ac:dyDescent="0.2">
      <c r="B3" s="46"/>
      <c r="C3" s="46"/>
      <c r="D3" s="47"/>
      <c r="E3" s="47"/>
      <c r="F3" s="47"/>
      <c r="G3" s="47"/>
      <c r="H3" s="47"/>
      <c r="I3" s="47"/>
    </row>
    <row r="4" spans="2:10" ht="42" customHeight="1" x14ac:dyDescent="0.2">
      <c r="B4" s="594" t="s">
        <v>214</v>
      </c>
      <c r="C4" s="596"/>
      <c r="D4" s="674" t="str">
        <f>Índex!B62</f>
        <v xml:space="preserve"> PS4.04_Ind01. </v>
      </c>
      <c r="E4" s="672"/>
      <c r="F4" s="594" t="s">
        <v>215</v>
      </c>
      <c r="G4" s="596"/>
      <c r="H4" s="674" t="str">
        <f>Índex!C62</f>
        <v xml:space="preserve"> Import de la Despesa econòmica de la Facultat destinada a l’adquisició, renovació d’equipament dels laboratoris i altres necessitats docents. </v>
      </c>
      <c r="I4" s="671"/>
      <c r="J4" s="672"/>
    </row>
    <row r="5" spans="2:10" ht="22.5" customHeight="1" x14ac:dyDescent="0.2">
      <c r="B5" s="594" t="s">
        <v>216</v>
      </c>
      <c r="C5" s="596"/>
      <c r="D5" s="869">
        <f>Índex!F62</f>
        <v>0.1</v>
      </c>
      <c r="E5" s="870"/>
      <c r="F5" s="732" t="s">
        <v>217</v>
      </c>
      <c r="G5" s="596"/>
      <c r="H5" s="775" t="s">
        <v>241</v>
      </c>
      <c r="I5" s="671"/>
      <c r="J5" s="636"/>
    </row>
    <row r="6" spans="2:10" ht="22.5" customHeight="1" x14ac:dyDescent="0.2">
      <c r="B6" s="594" t="s">
        <v>219</v>
      </c>
      <c r="C6" s="596"/>
      <c r="D6" s="674" t="s">
        <v>220</v>
      </c>
      <c r="E6" s="672"/>
      <c r="F6" s="594" t="s">
        <v>242</v>
      </c>
      <c r="G6" s="596"/>
      <c r="H6" s="12" t="str">
        <f>Índex!$E62</f>
        <v>Gestora Econòmica</v>
      </c>
      <c r="J6" s="108"/>
    </row>
    <row r="7" spans="2:10" ht="22.5" customHeight="1" x14ac:dyDescent="0.2">
      <c r="B7" s="594" t="s">
        <v>222</v>
      </c>
      <c r="C7" s="596"/>
      <c r="D7" s="674" t="str">
        <f>Índex!G62</f>
        <v xml:space="preserve"> PS4.04 Gestió d’Espais i Equipaments</v>
      </c>
      <c r="E7" s="671"/>
      <c r="F7" s="671"/>
      <c r="G7" s="671"/>
      <c r="H7" s="671"/>
      <c r="I7" s="671"/>
      <c r="J7" s="642"/>
    </row>
    <row r="8" spans="2:10" ht="7.5" customHeight="1" x14ac:dyDescent="0.2"/>
    <row r="9" spans="2:10" ht="22.5" customHeight="1" x14ac:dyDescent="0.2">
      <c r="B9" s="594" t="s">
        <v>223</v>
      </c>
      <c r="C9" s="595"/>
      <c r="D9" s="595"/>
      <c r="E9" s="595"/>
      <c r="F9" s="595"/>
      <c r="G9" s="595"/>
      <c r="H9" s="595"/>
      <c r="I9" s="595"/>
      <c r="J9" s="596"/>
    </row>
    <row r="10" spans="2:10" ht="22.5" customHeight="1" x14ac:dyDescent="0.2">
      <c r="B10" s="14"/>
      <c r="C10" s="13"/>
      <c r="D10" s="13"/>
      <c r="E10" s="13"/>
      <c r="F10" s="13"/>
      <c r="G10" s="13"/>
      <c r="H10" s="13"/>
      <c r="I10" s="13"/>
      <c r="J10" s="13"/>
    </row>
    <row r="11" spans="2:10" ht="22.5" customHeight="1" x14ac:dyDescent="0.2">
      <c r="B11" s="94"/>
      <c r="C11" s="94">
        <v>2019</v>
      </c>
      <c r="D11" s="94">
        <v>2020</v>
      </c>
      <c r="E11" s="94">
        <v>2021</v>
      </c>
      <c r="F11" s="94">
        <v>2022</v>
      </c>
      <c r="G11" s="94">
        <v>2023</v>
      </c>
      <c r="H11" s="13"/>
      <c r="I11" s="13"/>
      <c r="J11" s="13"/>
    </row>
    <row r="12" spans="2:10" ht="22.5" customHeight="1" x14ac:dyDescent="0.2">
      <c r="B12" s="31" t="s">
        <v>565</v>
      </c>
      <c r="C12" s="337">
        <v>36400.76</v>
      </c>
      <c r="D12" s="337">
        <v>73745.460000000006</v>
      </c>
      <c r="E12" s="337">
        <v>39366.949999999997</v>
      </c>
      <c r="F12" s="31" t="s">
        <v>566</v>
      </c>
      <c r="G12" s="521">
        <v>27419.56</v>
      </c>
      <c r="H12" s="13"/>
      <c r="I12" s="13"/>
      <c r="J12" s="13"/>
    </row>
    <row r="13" spans="2:10" ht="22.5" customHeight="1" x14ac:dyDescent="0.2">
      <c r="B13" s="31" t="s">
        <v>567</v>
      </c>
      <c r="C13" s="337">
        <v>199317.9</v>
      </c>
      <c r="D13" s="337">
        <v>198930.4</v>
      </c>
      <c r="E13" s="337">
        <v>201792.9</v>
      </c>
      <c r="F13" s="337">
        <v>201792.9</v>
      </c>
      <c r="G13" s="337">
        <v>221960.03</v>
      </c>
      <c r="H13" s="13"/>
      <c r="I13" s="13"/>
      <c r="J13" s="13"/>
    </row>
    <row r="14" spans="2:10" ht="22.5" customHeight="1" x14ac:dyDescent="0.2">
      <c r="B14" s="31" t="s">
        <v>320</v>
      </c>
      <c r="C14" s="57">
        <v>0.18</v>
      </c>
      <c r="D14" s="57">
        <v>0.37</v>
      </c>
      <c r="E14" s="41">
        <v>0.19500000000000001</v>
      </c>
      <c r="F14" s="57">
        <v>0.19</v>
      </c>
      <c r="G14" s="57">
        <v>0.12</v>
      </c>
      <c r="H14" s="13"/>
      <c r="I14" s="13"/>
      <c r="J14" s="13"/>
    </row>
    <row r="15" spans="2:10" ht="22.5" customHeight="1" x14ac:dyDescent="0.2">
      <c r="B15" s="222" t="s">
        <v>568</v>
      </c>
      <c r="C15" s="64">
        <v>0.1</v>
      </c>
      <c r="D15" s="64">
        <v>0.1</v>
      </c>
      <c r="E15" s="64">
        <v>0.1</v>
      </c>
      <c r="F15" s="64">
        <v>0.1</v>
      </c>
      <c r="G15" s="64">
        <v>0.1</v>
      </c>
    </row>
    <row r="16" spans="2:10" ht="22.5" customHeight="1" x14ac:dyDescent="0.2">
      <c r="B16" s="275" t="s">
        <v>291</v>
      </c>
      <c r="C16" s="276">
        <f>COUNT(C14/C15)</f>
        <v>1</v>
      </c>
      <c r="D16" s="276">
        <f t="shared" ref="D16:F16" si="0">COUNT(D14/D15)</f>
        <v>1</v>
      </c>
      <c r="E16" s="276">
        <f t="shared" si="0"/>
        <v>1</v>
      </c>
      <c r="F16" s="276">
        <f t="shared" si="0"/>
        <v>1</v>
      </c>
      <c r="G16" s="276">
        <f t="shared" ref="G16" si="1">COUNT(G14/G15)</f>
        <v>1</v>
      </c>
    </row>
    <row r="20" spans="2:10" ht="19.5" customHeight="1" x14ac:dyDescent="0.2">
      <c r="B20" s="594" t="s">
        <v>233</v>
      </c>
      <c r="C20" s="595"/>
      <c r="D20" s="595"/>
      <c r="E20" s="596"/>
      <c r="G20" s="682" t="s">
        <v>234</v>
      </c>
      <c r="H20" s="595"/>
      <c r="I20" s="595"/>
      <c r="J20" s="596"/>
    </row>
    <row r="21" spans="2:10" ht="19.5" customHeight="1" x14ac:dyDescent="0.2">
      <c r="G21" s="9"/>
      <c r="H21" s="9"/>
      <c r="I21" s="9"/>
      <c r="J21" s="9"/>
    </row>
    <row r="22" spans="2:10" ht="19.5" customHeight="1" x14ac:dyDescent="0.2">
      <c r="G22" s="579"/>
      <c r="H22" s="580"/>
      <c r="I22" s="580"/>
      <c r="J22" s="581"/>
    </row>
    <row r="23" spans="2:10" ht="19.5" customHeight="1" x14ac:dyDescent="0.2">
      <c r="G23" s="582"/>
      <c r="H23" s="583"/>
      <c r="I23" s="583"/>
      <c r="J23" s="584"/>
    </row>
    <row r="24" spans="2:10" ht="19.5" customHeight="1" x14ac:dyDescent="0.2">
      <c r="G24" s="582"/>
      <c r="H24" s="583"/>
      <c r="I24" s="583"/>
      <c r="J24" s="584"/>
    </row>
    <row r="25" spans="2:10" ht="19.5" customHeight="1" x14ac:dyDescent="0.2">
      <c r="G25" s="582"/>
      <c r="H25" s="583"/>
      <c r="I25" s="583"/>
      <c r="J25" s="584"/>
    </row>
    <row r="26" spans="2:10" ht="19.5" customHeight="1" x14ac:dyDescent="0.2">
      <c r="G26" s="582"/>
      <c r="H26" s="583"/>
      <c r="I26" s="583"/>
      <c r="J26" s="584"/>
    </row>
    <row r="27" spans="2:10" ht="19.5" customHeight="1" x14ac:dyDescent="0.2">
      <c r="G27" s="582"/>
      <c r="H27" s="583"/>
      <c r="I27" s="583"/>
      <c r="J27" s="584"/>
    </row>
    <row r="28" spans="2:10" ht="19.5" customHeight="1" x14ac:dyDescent="0.2">
      <c r="G28" s="582"/>
      <c r="H28" s="583"/>
      <c r="I28" s="583"/>
      <c r="J28" s="584"/>
    </row>
    <row r="29" spans="2:10" ht="19.5" customHeight="1" x14ac:dyDescent="0.2">
      <c r="G29" s="582"/>
      <c r="H29" s="583"/>
      <c r="I29" s="583"/>
      <c r="J29" s="584"/>
    </row>
    <row r="30" spans="2:10" ht="19.5" customHeight="1" x14ac:dyDescent="0.2">
      <c r="G30" s="585"/>
      <c r="H30" s="586"/>
      <c r="I30" s="586"/>
      <c r="J30" s="587"/>
    </row>
  </sheetData>
  <sheetProtection sheet="1" formatCells="0" formatColumns="0" formatRows="0" insertColumns="0" insertRows="0" insertHyperlinks="0" deleteColumns="0" deleteRows="0" pivotTables="0"/>
  <mergeCells count="19">
    <mergeCell ref="B2:D2"/>
    <mergeCell ref="E2:J2"/>
    <mergeCell ref="B4:C4"/>
    <mergeCell ref="D4:E4"/>
    <mergeCell ref="F4:G4"/>
    <mergeCell ref="H4:J4"/>
    <mergeCell ref="B5:C5"/>
    <mergeCell ref="D5:E5"/>
    <mergeCell ref="F5:G5"/>
    <mergeCell ref="H5:J5"/>
    <mergeCell ref="B6:C6"/>
    <mergeCell ref="D6:E6"/>
    <mergeCell ref="F6:G6"/>
    <mergeCell ref="B9:J9"/>
    <mergeCell ref="G20:J20"/>
    <mergeCell ref="G22:J30"/>
    <mergeCell ref="B7:C7"/>
    <mergeCell ref="D7:J7"/>
    <mergeCell ref="B20:E20"/>
  </mergeCells>
  <pageMargins left="0.7" right="0.7" top="0.75" bottom="0.75" header="0" footer="0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9D8D8-5C98-4FA5-8A4F-178456AE7D67}">
  <sheetPr>
    <tabColor theme="9" tint="-0.499984740745262"/>
    <pageSetUpPr fitToPage="1"/>
  </sheetPr>
  <dimension ref="B2:J27"/>
  <sheetViews>
    <sheetView showGridLines="0" topLeftCell="A14" workbookViewId="0">
      <selection activeCell="F14" sqref="F14"/>
    </sheetView>
  </sheetViews>
  <sheetFormatPr defaultColWidth="12.5703125" defaultRowHeight="15.75" customHeight="1" x14ac:dyDescent="0.2"/>
  <cols>
    <col min="1" max="1" width="3.42578125" customWidth="1"/>
    <col min="2" max="2" width="14.140625" customWidth="1"/>
    <col min="3" max="3" width="12.5703125" customWidth="1"/>
    <col min="4" max="4" width="17.28515625" bestFit="1" customWidth="1"/>
    <col min="5" max="9" width="12.5703125" customWidth="1"/>
    <col min="10" max="10" width="36.28515625" customWidth="1"/>
    <col min="11" max="11" width="8.85546875" customWidth="1"/>
    <col min="12" max="21" width="7.5703125" customWidth="1"/>
  </cols>
  <sheetData>
    <row r="2" spans="2:10" ht="55.5" customHeight="1" x14ac:dyDescent="0.2">
      <c r="B2" s="670"/>
      <c r="C2" s="671"/>
      <c r="D2" s="672"/>
      <c r="E2" s="673" t="s">
        <v>213</v>
      </c>
      <c r="F2" s="671"/>
      <c r="G2" s="671"/>
      <c r="H2" s="671"/>
      <c r="I2" s="671"/>
      <c r="J2" s="672"/>
    </row>
    <row r="3" spans="2:10" ht="22.5" customHeight="1" x14ac:dyDescent="0.2">
      <c r="B3" s="46"/>
      <c r="C3" s="46"/>
      <c r="D3" s="47"/>
      <c r="E3" s="47"/>
      <c r="F3" s="47"/>
      <c r="G3" s="47"/>
      <c r="H3" s="47"/>
      <c r="I3" s="47"/>
    </row>
    <row r="4" spans="2:10" ht="42" customHeight="1" x14ac:dyDescent="0.2">
      <c r="B4" s="594" t="s">
        <v>214</v>
      </c>
      <c r="C4" s="596"/>
      <c r="D4" s="775" t="str">
        <f>Índex!B64</f>
        <v xml:space="preserve">PS4.04_Ind02. </v>
      </c>
      <c r="E4" s="672"/>
      <c r="F4" s="594" t="s">
        <v>215</v>
      </c>
      <c r="G4" s="596"/>
      <c r="H4" s="775" t="str">
        <f>Índex!C64</f>
        <v>Import de la despesa econòmica que s’ha invertit a l’Edifici C en concepte de manteniment correctiu i preventiu (funcionament)</v>
      </c>
      <c r="I4" s="671"/>
      <c r="J4" s="672"/>
    </row>
    <row r="5" spans="2:10" ht="22.5" customHeight="1" x14ac:dyDescent="0.2">
      <c r="B5" s="594" t="s">
        <v>216</v>
      </c>
      <c r="C5" s="596"/>
      <c r="D5" s="871" t="str">
        <f>Índex!F64</f>
        <v>Destinar el 100% dels recursos disponibles</v>
      </c>
      <c r="E5" s="870"/>
      <c r="F5" s="732" t="s">
        <v>217</v>
      </c>
      <c r="G5" s="596"/>
      <c r="H5" s="775" t="s">
        <v>241</v>
      </c>
      <c r="I5" s="671"/>
      <c r="J5" s="636"/>
    </row>
    <row r="6" spans="2:10" ht="22.5" customHeight="1" x14ac:dyDescent="0.2">
      <c r="B6" s="594" t="s">
        <v>219</v>
      </c>
      <c r="C6" s="596"/>
      <c r="D6" s="775" t="s">
        <v>220</v>
      </c>
      <c r="E6" s="672"/>
      <c r="F6" s="594" t="s">
        <v>242</v>
      </c>
      <c r="G6" s="596"/>
      <c r="H6" s="12" t="str">
        <f>Índex!$E64</f>
        <v>Administradora de Centre</v>
      </c>
      <c r="I6" s="143"/>
      <c r="J6" s="363"/>
    </row>
    <row r="7" spans="2:10" ht="22.5" customHeight="1" x14ac:dyDescent="0.2">
      <c r="B7" s="594" t="s">
        <v>222</v>
      </c>
      <c r="C7" s="596"/>
      <c r="D7" s="775" t="str">
        <f>Índex!G64</f>
        <v xml:space="preserve"> PS4.04 Gestió d’Espais i Equipaments</v>
      </c>
      <c r="E7" s="671"/>
      <c r="F7" s="671"/>
      <c r="G7" s="671"/>
      <c r="H7" s="671"/>
      <c r="I7" s="671"/>
      <c r="J7" s="642"/>
    </row>
    <row r="8" spans="2:10" ht="7.5" customHeight="1" x14ac:dyDescent="0.2"/>
    <row r="9" spans="2:10" ht="22.5" customHeight="1" x14ac:dyDescent="0.2">
      <c r="B9" s="594" t="s">
        <v>223</v>
      </c>
      <c r="C9" s="595"/>
      <c r="D9" s="595"/>
      <c r="E9" s="595"/>
      <c r="F9" s="595"/>
      <c r="G9" s="595"/>
      <c r="H9" s="595"/>
      <c r="I9" s="595"/>
      <c r="J9" s="596"/>
    </row>
    <row r="10" spans="2:10" ht="22.5" customHeight="1" thickBot="1" x14ac:dyDescent="0.25">
      <c r="B10" s="14"/>
      <c r="C10" s="13"/>
      <c r="D10" s="13"/>
      <c r="E10" s="13"/>
      <c r="F10" s="13"/>
      <c r="G10" s="13"/>
      <c r="H10" s="13"/>
      <c r="I10" s="13"/>
      <c r="J10" s="13"/>
    </row>
    <row r="11" spans="2:10" ht="22.5" customHeight="1" thickBot="1" x14ac:dyDescent="0.25">
      <c r="B11" s="200"/>
      <c r="C11" s="169">
        <v>2019</v>
      </c>
      <c r="D11" s="169">
        <v>2020</v>
      </c>
      <c r="E11" s="169">
        <v>2021</v>
      </c>
      <c r="F11" s="169">
        <v>2022</v>
      </c>
      <c r="G11" s="169">
        <v>2023</v>
      </c>
      <c r="H11" s="13"/>
      <c r="I11" s="13"/>
      <c r="J11" s="13"/>
    </row>
    <row r="12" spans="2:10" ht="22.5" customHeight="1" thickBot="1" x14ac:dyDescent="0.25">
      <c r="B12" s="170" t="s">
        <v>565</v>
      </c>
      <c r="C12" s="364">
        <v>45989</v>
      </c>
      <c r="D12" s="364">
        <v>45989</v>
      </c>
      <c r="E12" s="364">
        <v>45989</v>
      </c>
      <c r="F12" s="364">
        <v>45989</v>
      </c>
      <c r="G12" s="364">
        <v>45989</v>
      </c>
      <c r="H12" s="13"/>
      <c r="I12" s="13"/>
      <c r="J12" s="13"/>
    </row>
    <row r="13" spans="2:10" ht="22.5" customHeight="1" x14ac:dyDescent="0.2">
      <c r="B13" s="201" t="s">
        <v>569</v>
      </c>
      <c r="C13" s="522">
        <v>1</v>
      </c>
      <c r="D13" s="365">
        <v>0.95550000000000002</v>
      </c>
      <c r="E13" s="522">
        <v>1</v>
      </c>
      <c r="F13" s="522">
        <v>1</v>
      </c>
      <c r="G13" s="522">
        <v>1</v>
      </c>
      <c r="H13" s="13"/>
      <c r="I13" s="13"/>
      <c r="J13" s="13"/>
    </row>
    <row r="14" spans="2:10" ht="23.25" customHeight="1" x14ac:dyDescent="0.2">
      <c r="B14" s="366" t="s">
        <v>507</v>
      </c>
      <c r="C14" s="367">
        <v>1</v>
      </c>
      <c r="D14" s="367">
        <v>1</v>
      </c>
      <c r="E14" s="367">
        <v>1</v>
      </c>
      <c r="F14" s="367">
        <v>1</v>
      </c>
      <c r="G14" s="367">
        <v>1</v>
      </c>
    </row>
    <row r="17" spans="2:10" ht="19.5" customHeight="1" x14ac:dyDescent="0.2">
      <c r="B17" s="594" t="s">
        <v>233</v>
      </c>
      <c r="C17" s="595"/>
      <c r="D17" s="595"/>
      <c r="E17" s="596"/>
      <c r="G17" s="682" t="s">
        <v>234</v>
      </c>
      <c r="H17" s="595"/>
      <c r="I17" s="595"/>
      <c r="J17" s="596"/>
    </row>
    <row r="18" spans="2:10" ht="19.5" customHeight="1" x14ac:dyDescent="0.2">
      <c r="G18" s="9"/>
      <c r="H18" s="9"/>
      <c r="I18" s="9"/>
      <c r="J18" s="9"/>
    </row>
    <row r="19" spans="2:10" ht="19.5" customHeight="1" x14ac:dyDescent="0.2">
      <c r="G19" s="634"/>
      <c r="H19" s="580"/>
      <c r="I19" s="580"/>
      <c r="J19" s="581"/>
    </row>
    <row r="20" spans="2:10" ht="19.5" customHeight="1" x14ac:dyDescent="0.2">
      <c r="G20" s="582"/>
      <c r="H20" s="583"/>
      <c r="I20" s="583"/>
      <c r="J20" s="584"/>
    </row>
    <row r="21" spans="2:10" ht="19.5" customHeight="1" x14ac:dyDescent="0.2">
      <c r="G21" s="582"/>
      <c r="H21" s="583"/>
      <c r="I21" s="583"/>
      <c r="J21" s="584"/>
    </row>
    <row r="22" spans="2:10" ht="19.5" customHeight="1" x14ac:dyDescent="0.2">
      <c r="G22" s="582"/>
      <c r="H22" s="583"/>
      <c r="I22" s="583"/>
      <c r="J22" s="584"/>
    </row>
    <row r="23" spans="2:10" ht="19.5" customHeight="1" x14ac:dyDescent="0.2">
      <c r="G23" s="582"/>
      <c r="H23" s="583"/>
      <c r="I23" s="583"/>
      <c r="J23" s="584"/>
    </row>
    <row r="24" spans="2:10" ht="19.5" customHeight="1" x14ac:dyDescent="0.2">
      <c r="G24" s="582"/>
      <c r="H24" s="583"/>
      <c r="I24" s="583"/>
      <c r="J24" s="584"/>
    </row>
    <row r="25" spans="2:10" ht="19.5" customHeight="1" x14ac:dyDescent="0.2">
      <c r="G25" s="582"/>
      <c r="H25" s="583"/>
      <c r="I25" s="583"/>
      <c r="J25" s="584"/>
    </row>
    <row r="26" spans="2:10" ht="19.5" customHeight="1" x14ac:dyDescent="0.2">
      <c r="G26" s="582"/>
      <c r="H26" s="583"/>
      <c r="I26" s="583"/>
      <c r="J26" s="584"/>
    </row>
    <row r="27" spans="2:10" ht="19.5" customHeight="1" x14ac:dyDescent="0.2">
      <c r="G27" s="585"/>
      <c r="H27" s="586"/>
      <c r="I27" s="586"/>
      <c r="J27" s="587"/>
    </row>
  </sheetData>
  <sheetProtection sheet="1" formatCells="0" formatColumns="0" formatRows="0" insertColumns="0" insertRows="0" insertHyperlinks="0" deleteColumns="0" deleteRows="0" pivotTables="0"/>
  <mergeCells count="19">
    <mergeCell ref="B2:D2"/>
    <mergeCell ref="E2:J2"/>
    <mergeCell ref="B4:C4"/>
    <mergeCell ref="D4:E4"/>
    <mergeCell ref="F4:G4"/>
    <mergeCell ref="H4:J4"/>
    <mergeCell ref="G19:J27"/>
    <mergeCell ref="B5:C5"/>
    <mergeCell ref="D5:E5"/>
    <mergeCell ref="F5:G5"/>
    <mergeCell ref="H5:J5"/>
    <mergeCell ref="B6:C6"/>
    <mergeCell ref="D6:E6"/>
    <mergeCell ref="F6:G6"/>
    <mergeCell ref="B7:C7"/>
    <mergeCell ref="D7:J7"/>
    <mergeCell ref="B9:J9"/>
    <mergeCell ref="B17:E17"/>
    <mergeCell ref="G17:J17"/>
  </mergeCells>
  <pageMargins left="0.7" right="0.7" top="0.75" bottom="0.75" header="0" footer="0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8DF17-2F55-4F58-8EA5-1DDF9F54291A}">
  <sheetPr>
    <tabColor theme="9" tint="-0.499984740745262"/>
    <pageSetUpPr fitToPage="1"/>
  </sheetPr>
  <dimension ref="B2:N38"/>
  <sheetViews>
    <sheetView showGridLines="0" topLeftCell="A18" workbookViewId="0">
      <selection activeCell="F20" sqref="F20"/>
    </sheetView>
  </sheetViews>
  <sheetFormatPr defaultColWidth="12.5703125" defaultRowHeight="15.75" customHeight="1" x14ac:dyDescent="0.2"/>
  <cols>
    <col min="1" max="1" width="3.42578125" customWidth="1"/>
    <col min="2" max="2" width="14.140625" customWidth="1"/>
    <col min="3" max="3" width="12.5703125" customWidth="1"/>
    <col min="4" max="4" width="17.28515625" bestFit="1" customWidth="1"/>
    <col min="5" max="9" width="12.5703125" customWidth="1"/>
    <col min="10" max="10" width="36.28515625" customWidth="1"/>
    <col min="11" max="20" width="7.5703125" customWidth="1"/>
  </cols>
  <sheetData>
    <row r="2" spans="2:10" ht="55.5" customHeight="1" x14ac:dyDescent="0.2">
      <c r="B2" s="670"/>
      <c r="C2" s="671"/>
      <c r="D2" s="672"/>
      <c r="E2" s="673" t="s">
        <v>213</v>
      </c>
      <c r="F2" s="671"/>
      <c r="G2" s="671"/>
      <c r="H2" s="671"/>
      <c r="I2" s="671"/>
      <c r="J2" s="672"/>
    </row>
    <row r="3" spans="2:10" ht="22.5" customHeight="1" x14ac:dyDescent="0.2">
      <c r="B3" s="46"/>
      <c r="C3" s="46"/>
      <c r="D3" s="47"/>
      <c r="E3" s="47"/>
      <c r="F3" s="47"/>
      <c r="G3" s="47"/>
      <c r="H3" s="47"/>
      <c r="I3" s="47"/>
    </row>
    <row r="4" spans="2:10" ht="42" customHeight="1" x14ac:dyDescent="0.2">
      <c r="B4" s="594" t="s">
        <v>214</v>
      </c>
      <c r="C4" s="596"/>
      <c r="D4" s="674" t="str">
        <f>Índex!B63</f>
        <v xml:space="preserve"> PS4.04_Ind03.  </v>
      </c>
      <c r="E4" s="672"/>
      <c r="F4" s="594" t="s">
        <v>215</v>
      </c>
      <c r="G4" s="596"/>
      <c r="H4" s="674" t="str">
        <f>Índex!C63</f>
        <v>Valoració mitjana de la pregunta “Les instal·lacions (aules i espais docents) han estat adequades per afavorir el meu aprenentatge”.</v>
      </c>
      <c r="I4" s="671"/>
      <c r="J4" s="672"/>
    </row>
    <row r="5" spans="2:10" ht="22.5" customHeight="1" x14ac:dyDescent="0.2">
      <c r="B5" s="594" t="s">
        <v>216</v>
      </c>
      <c r="C5" s="596"/>
      <c r="D5" s="674" t="str">
        <f>Índex!F63</f>
        <v>≥3,5</v>
      </c>
      <c r="E5" s="672"/>
      <c r="F5" s="732" t="s">
        <v>217</v>
      </c>
      <c r="G5" s="596"/>
      <c r="H5" s="775" t="s">
        <v>241</v>
      </c>
      <c r="I5" s="671"/>
      <c r="J5" s="636"/>
    </row>
    <row r="6" spans="2:10" ht="22.5" customHeight="1" x14ac:dyDescent="0.2">
      <c r="B6" s="594" t="s">
        <v>219</v>
      </c>
      <c r="C6" s="596"/>
      <c r="D6" s="674" t="s">
        <v>220</v>
      </c>
      <c r="E6" s="672"/>
      <c r="F6" s="594" t="s">
        <v>242</v>
      </c>
      <c r="G6" s="596"/>
      <c r="H6" s="12" t="str">
        <f>Índex!E63</f>
        <v>Gestora de Qualitat</v>
      </c>
      <c r="J6" s="19"/>
    </row>
    <row r="7" spans="2:10" ht="22.5" customHeight="1" x14ac:dyDescent="0.2">
      <c r="B7" s="594" t="s">
        <v>222</v>
      </c>
      <c r="C7" s="596"/>
      <c r="D7" s="674" t="str">
        <f>Índex!G63</f>
        <v xml:space="preserve"> PS4.04 Gestió d’Espais i Equipaments</v>
      </c>
      <c r="E7" s="671"/>
      <c r="F7" s="671"/>
      <c r="G7" s="671"/>
      <c r="H7" s="671"/>
      <c r="I7" s="671"/>
      <c r="J7" s="672"/>
    </row>
    <row r="8" spans="2:10" ht="7.5" customHeight="1" x14ac:dyDescent="0.2"/>
    <row r="9" spans="2:10" ht="22.5" customHeight="1" x14ac:dyDescent="0.2">
      <c r="B9" s="594" t="s">
        <v>223</v>
      </c>
      <c r="C9" s="595"/>
      <c r="D9" s="595"/>
      <c r="E9" s="595"/>
      <c r="F9" s="595"/>
      <c r="G9" s="595"/>
      <c r="H9" s="595"/>
      <c r="I9" s="595"/>
      <c r="J9" s="596"/>
    </row>
    <row r="10" spans="2:10" ht="22.5" customHeight="1" x14ac:dyDescent="0.2"/>
    <row r="11" spans="2:10" ht="22.5" customHeight="1" thickBot="1" x14ac:dyDescent="0.25">
      <c r="B11" s="16"/>
      <c r="C11" s="16"/>
      <c r="D11" s="94" t="s">
        <v>224</v>
      </c>
      <c r="E11" s="94" t="s">
        <v>225</v>
      </c>
      <c r="F11" s="94" t="s">
        <v>226</v>
      </c>
      <c r="G11" s="94" t="s">
        <v>227</v>
      </c>
      <c r="H11" s="94" t="s">
        <v>228</v>
      </c>
      <c r="I11" s="94" t="s">
        <v>229</v>
      </c>
    </row>
    <row r="12" spans="2:10" ht="41.25" customHeight="1" thickBot="1" x14ac:dyDescent="0.25">
      <c r="B12" s="695" t="s">
        <v>244</v>
      </c>
      <c r="C12" s="695"/>
      <c r="D12" s="15">
        <v>3.82</v>
      </c>
      <c r="E12" s="132" t="s">
        <v>237</v>
      </c>
      <c r="F12" s="132">
        <v>4.38</v>
      </c>
      <c r="G12" s="132">
        <v>3.8</v>
      </c>
      <c r="H12" s="132">
        <v>3.53</v>
      </c>
      <c r="I12" s="417" t="s">
        <v>260</v>
      </c>
      <c r="J12" s="126"/>
    </row>
    <row r="13" spans="2:10" ht="41.25" customHeight="1" thickBot="1" x14ac:dyDescent="0.25">
      <c r="B13" s="695" t="s">
        <v>343</v>
      </c>
      <c r="C13" s="695"/>
      <c r="D13" s="10" t="s">
        <v>237</v>
      </c>
      <c r="E13" s="134" t="s">
        <v>237</v>
      </c>
      <c r="F13" s="136">
        <v>2.8</v>
      </c>
      <c r="G13" s="136">
        <v>2</v>
      </c>
      <c r="H13" s="277">
        <v>3.43</v>
      </c>
      <c r="I13" s="171" t="s">
        <v>260</v>
      </c>
      <c r="J13" s="126"/>
    </row>
    <row r="14" spans="2:10" ht="41.25" customHeight="1" thickBot="1" x14ac:dyDescent="0.25">
      <c r="B14" s="695" t="s">
        <v>293</v>
      </c>
      <c r="C14" s="695"/>
      <c r="D14" s="10" t="s">
        <v>237</v>
      </c>
      <c r="E14" s="134">
        <v>3.2</v>
      </c>
      <c r="F14" s="134">
        <v>4.67</v>
      </c>
      <c r="G14" s="136">
        <v>2.5</v>
      </c>
      <c r="H14" s="277">
        <v>4.17</v>
      </c>
      <c r="I14" s="171" t="s">
        <v>260</v>
      </c>
      <c r="J14" s="126"/>
    </row>
    <row r="15" spans="2:10" ht="41.25" customHeight="1" thickBot="1" x14ac:dyDescent="0.25">
      <c r="B15" s="695" t="s">
        <v>247</v>
      </c>
      <c r="C15" s="695"/>
      <c r="D15" s="10">
        <v>3.44</v>
      </c>
      <c r="E15" s="134">
        <v>3</v>
      </c>
      <c r="F15" s="134">
        <v>3.77</v>
      </c>
      <c r="G15" s="134">
        <v>3.5</v>
      </c>
      <c r="H15" s="134">
        <v>4</v>
      </c>
      <c r="I15" s="171" t="s">
        <v>260</v>
      </c>
      <c r="J15" s="126"/>
    </row>
    <row r="16" spans="2:10" ht="41.25" customHeight="1" thickBot="1" x14ac:dyDescent="0.25">
      <c r="B16" s="695" t="s">
        <v>336</v>
      </c>
      <c r="C16" s="695"/>
      <c r="D16" s="10" t="s">
        <v>237</v>
      </c>
      <c r="E16" s="134" t="s">
        <v>237</v>
      </c>
      <c r="F16" s="134" t="s">
        <v>237</v>
      </c>
      <c r="G16" s="134">
        <v>4</v>
      </c>
      <c r="H16" s="134">
        <v>3.89</v>
      </c>
      <c r="I16" s="171" t="s">
        <v>260</v>
      </c>
      <c r="J16" s="126"/>
    </row>
    <row r="17" spans="2:14" ht="41.25" customHeight="1" thickBot="1" x14ac:dyDescent="0.25">
      <c r="B17" s="695" t="s">
        <v>337</v>
      </c>
      <c r="C17" s="695"/>
      <c r="D17" s="10">
        <v>3.25</v>
      </c>
      <c r="E17" s="134">
        <v>3.57</v>
      </c>
      <c r="F17" s="134" t="s">
        <v>237</v>
      </c>
      <c r="G17" s="134">
        <v>3.75</v>
      </c>
      <c r="H17" s="134">
        <v>3.25</v>
      </c>
      <c r="I17" s="407" t="s">
        <v>260</v>
      </c>
      <c r="J17" s="126"/>
      <c r="K17" s="23"/>
      <c r="L17" s="28"/>
      <c r="M17" s="28"/>
    </row>
    <row r="18" spans="2:14" ht="41.25" customHeight="1" thickBot="1" x14ac:dyDescent="0.25">
      <c r="B18" s="695" t="s">
        <v>250</v>
      </c>
      <c r="C18" s="695"/>
      <c r="D18" s="10">
        <v>3.4</v>
      </c>
      <c r="E18" s="134" t="s">
        <v>237</v>
      </c>
      <c r="F18" s="134" t="s">
        <v>237</v>
      </c>
      <c r="G18" s="134" t="s">
        <v>237</v>
      </c>
      <c r="H18" s="134">
        <v>3.71</v>
      </c>
      <c r="I18" s="171" t="s">
        <v>260</v>
      </c>
      <c r="J18" s="126"/>
      <c r="K18" s="23"/>
      <c r="L18" s="28"/>
      <c r="M18" s="28"/>
    </row>
    <row r="19" spans="2:14" ht="41.25" customHeight="1" thickBot="1" x14ac:dyDescent="0.25">
      <c r="B19" s="751" t="s">
        <v>350</v>
      </c>
      <c r="C19" s="756"/>
      <c r="D19" s="10" t="s">
        <v>237</v>
      </c>
      <c r="E19" s="134" t="s">
        <v>237</v>
      </c>
      <c r="F19" s="134" t="s">
        <v>237</v>
      </c>
      <c r="G19" s="134" t="s">
        <v>237</v>
      </c>
      <c r="H19" s="134">
        <v>4.29</v>
      </c>
      <c r="I19" s="171" t="s">
        <v>260</v>
      </c>
      <c r="J19" s="126"/>
      <c r="K19" s="23"/>
      <c r="L19" s="28"/>
      <c r="M19" s="28"/>
    </row>
    <row r="20" spans="2:14" ht="41.25" customHeight="1" thickBot="1" x14ac:dyDescent="0.25">
      <c r="B20" s="695" t="s">
        <v>252</v>
      </c>
      <c r="C20" s="695"/>
      <c r="D20" s="10">
        <v>3.4</v>
      </c>
      <c r="E20" s="134">
        <v>3.79</v>
      </c>
      <c r="F20" s="134">
        <v>3.27</v>
      </c>
      <c r="G20" s="134">
        <v>2.4</v>
      </c>
      <c r="H20" s="134">
        <v>3.9</v>
      </c>
      <c r="I20" s="171" t="s">
        <v>260</v>
      </c>
      <c r="J20" s="29"/>
    </row>
    <row r="21" spans="2:14" ht="41.25" customHeight="1" thickBot="1" x14ac:dyDescent="0.25">
      <c r="B21" s="695" t="s">
        <v>253</v>
      </c>
      <c r="C21" s="695"/>
      <c r="D21" s="10">
        <v>3.36</v>
      </c>
      <c r="E21" s="134">
        <v>3.89</v>
      </c>
      <c r="F21" s="134">
        <v>3.67</v>
      </c>
      <c r="G21" s="134">
        <v>3.5</v>
      </c>
      <c r="H21" s="134">
        <v>3.64</v>
      </c>
      <c r="I21" s="171" t="s">
        <v>260</v>
      </c>
      <c r="J21" s="30"/>
      <c r="K21" s="55"/>
      <c r="L21" s="55"/>
      <c r="M21" s="55"/>
      <c r="N21" s="55"/>
    </row>
    <row r="22" spans="2:14" ht="41.25" customHeight="1" thickBot="1" x14ac:dyDescent="0.25">
      <c r="B22" s="752" t="s">
        <v>254</v>
      </c>
      <c r="C22" s="752"/>
      <c r="D22" s="10">
        <v>3.48</v>
      </c>
      <c r="E22" s="134">
        <v>3.37</v>
      </c>
      <c r="F22" s="134">
        <v>3.58</v>
      </c>
      <c r="G22" s="134">
        <v>4.25</v>
      </c>
      <c r="H22" s="134">
        <v>3.89</v>
      </c>
      <c r="I22" s="171" t="s">
        <v>260</v>
      </c>
      <c r="J22" s="30"/>
      <c r="K22" s="55"/>
      <c r="L22" s="55"/>
      <c r="M22" s="55"/>
      <c r="N22" s="55"/>
    </row>
    <row r="23" spans="2:14" ht="22.5" customHeight="1" thickBot="1" x14ac:dyDescent="0.25">
      <c r="B23" s="816" t="str">
        <f>D5</f>
        <v>≥3,5</v>
      </c>
      <c r="C23" s="816"/>
      <c r="D23" s="17">
        <f t="shared" ref="D23:H23" si="0">COUNTIF(D12:D22,"&gt;=3,5")</f>
        <v>1</v>
      </c>
      <c r="E23" s="17">
        <f t="shared" si="0"/>
        <v>3</v>
      </c>
      <c r="F23" s="17">
        <f t="shared" si="0"/>
        <v>5</v>
      </c>
      <c r="G23" s="17">
        <f t="shared" si="0"/>
        <v>6</v>
      </c>
      <c r="H23" s="17">
        <f t="shared" si="0"/>
        <v>9</v>
      </c>
      <c r="I23" s="171" t="s">
        <v>260</v>
      </c>
    </row>
    <row r="24" spans="2:14" ht="22.5" customHeight="1" thickBot="1" x14ac:dyDescent="0.25">
      <c r="B24" s="689" t="s">
        <v>274</v>
      </c>
      <c r="C24" s="689"/>
      <c r="D24" s="17">
        <f t="shared" ref="D24:H24" si="1">COUNT(D12:D22)</f>
        <v>7</v>
      </c>
      <c r="E24" s="17">
        <f t="shared" si="1"/>
        <v>6</v>
      </c>
      <c r="F24" s="17">
        <f t="shared" si="1"/>
        <v>7</v>
      </c>
      <c r="G24" s="17">
        <f t="shared" si="1"/>
        <v>9</v>
      </c>
      <c r="H24" s="17">
        <f t="shared" si="1"/>
        <v>11</v>
      </c>
      <c r="I24" s="171" t="s">
        <v>260</v>
      </c>
    </row>
    <row r="25" spans="2:14" ht="22.5" customHeight="1" thickBot="1" x14ac:dyDescent="0.25">
      <c r="B25" s="45" t="s">
        <v>231</v>
      </c>
      <c r="C25" s="12" t="str">
        <f>D5</f>
        <v>≥3,5</v>
      </c>
      <c r="D25" s="74">
        <v>3.5</v>
      </c>
      <c r="E25" s="74">
        <v>3.5</v>
      </c>
      <c r="F25" s="74">
        <v>3.5</v>
      </c>
      <c r="G25" s="74">
        <v>3.5</v>
      </c>
      <c r="H25" s="74">
        <v>3.5</v>
      </c>
      <c r="I25" s="171" t="s">
        <v>260</v>
      </c>
    </row>
    <row r="26" spans="2:14" ht="22.5" customHeight="1" x14ac:dyDescent="0.2">
      <c r="B26" s="685" t="s">
        <v>232</v>
      </c>
      <c r="C26" s="735"/>
      <c r="D26" s="48">
        <f t="shared" ref="D26:I26" si="2">D23/D24</f>
        <v>0.14285714285714285</v>
      </c>
      <c r="E26" s="48">
        <f t="shared" si="2"/>
        <v>0.5</v>
      </c>
      <c r="F26" s="48">
        <f t="shared" si="2"/>
        <v>0.7142857142857143</v>
      </c>
      <c r="G26" s="48">
        <f t="shared" si="2"/>
        <v>0.66666666666666663</v>
      </c>
      <c r="H26" s="48">
        <f t="shared" si="2"/>
        <v>0.81818181818181823</v>
      </c>
      <c r="I26" s="48" t="e">
        <f t="shared" si="2"/>
        <v>#VALUE!</v>
      </c>
    </row>
    <row r="27" spans="2:14" ht="22.5" customHeight="1" x14ac:dyDescent="0.25">
      <c r="B27" s="7"/>
      <c r="C27" s="7"/>
      <c r="D27" s="6"/>
      <c r="E27" s="6"/>
      <c r="F27" s="6"/>
      <c r="G27" s="6"/>
      <c r="H27" s="6"/>
      <c r="I27" s="6"/>
      <c r="J27" s="6"/>
    </row>
    <row r="28" spans="2:14" ht="22.5" customHeight="1" x14ac:dyDescent="0.2">
      <c r="B28" s="594" t="s">
        <v>233</v>
      </c>
      <c r="C28" s="595"/>
      <c r="D28" s="595"/>
      <c r="E28" s="596"/>
      <c r="F28" s="8"/>
      <c r="K28" s="594" t="s">
        <v>234</v>
      </c>
      <c r="L28" s="595"/>
      <c r="M28" s="595"/>
      <c r="N28" s="596"/>
    </row>
    <row r="29" spans="2:14" ht="22.5" customHeight="1" x14ac:dyDescent="0.2">
      <c r="B29" s="8"/>
      <c r="C29" s="8"/>
      <c r="D29" s="8"/>
      <c r="E29" s="8"/>
      <c r="F29" s="8"/>
      <c r="K29" s="9"/>
      <c r="L29" s="9"/>
      <c r="M29" s="9"/>
      <c r="N29" s="9"/>
    </row>
    <row r="30" spans="2:14" ht="6" customHeight="1" x14ac:dyDescent="0.2">
      <c r="B30" s="8"/>
      <c r="C30" s="8"/>
      <c r="D30" s="8"/>
      <c r="E30" s="8"/>
      <c r="F30" s="8"/>
      <c r="K30" s="634" t="s">
        <v>570</v>
      </c>
      <c r="L30" s="580"/>
      <c r="M30" s="580"/>
      <c r="N30" s="581"/>
    </row>
    <row r="31" spans="2:14" ht="19.5" customHeight="1" x14ac:dyDescent="0.2">
      <c r="B31" s="8"/>
      <c r="C31" s="8"/>
      <c r="D31" s="8"/>
      <c r="E31" s="8"/>
      <c r="F31" s="8"/>
      <c r="K31" s="582"/>
      <c r="L31" s="583"/>
      <c r="M31" s="583"/>
      <c r="N31" s="584"/>
    </row>
    <row r="32" spans="2:14" ht="19.5" customHeight="1" x14ac:dyDescent="0.2">
      <c r="B32" s="8"/>
      <c r="C32" s="8"/>
      <c r="D32" s="8"/>
      <c r="E32" s="8"/>
      <c r="F32" s="8"/>
      <c r="K32" s="582"/>
      <c r="L32" s="583"/>
      <c r="M32" s="583"/>
      <c r="N32" s="584"/>
    </row>
    <row r="33" spans="11:14" ht="19.5" customHeight="1" x14ac:dyDescent="0.2">
      <c r="K33" s="582"/>
      <c r="L33" s="583"/>
      <c r="M33" s="583"/>
      <c r="N33" s="584"/>
    </row>
    <row r="34" spans="11:14" ht="19.5" customHeight="1" x14ac:dyDescent="0.2">
      <c r="K34" s="582"/>
      <c r="L34" s="583"/>
      <c r="M34" s="583"/>
      <c r="N34" s="584"/>
    </row>
    <row r="35" spans="11:14" ht="19.5" customHeight="1" x14ac:dyDescent="0.2">
      <c r="K35" s="582"/>
      <c r="L35" s="583"/>
      <c r="M35" s="583"/>
      <c r="N35" s="584"/>
    </row>
    <row r="36" spans="11:14" ht="19.5" customHeight="1" x14ac:dyDescent="0.2">
      <c r="K36" s="582"/>
      <c r="L36" s="583"/>
      <c r="M36" s="583"/>
      <c r="N36" s="584"/>
    </row>
    <row r="37" spans="11:14" ht="19.5" customHeight="1" x14ac:dyDescent="0.2">
      <c r="K37" s="582"/>
      <c r="L37" s="583"/>
      <c r="M37" s="583"/>
      <c r="N37" s="584"/>
    </row>
    <row r="38" spans="11:14" ht="19.5" customHeight="1" x14ac:dyDescent="0.2">
      <c r="K38" s="585"/>
      <c r="L38" s="586"/>
      <c r="M38" s="586"/>
      <c r="N38" s="587"/>
    </row>
  </sheetData>
  <sheetProtection sheet="1" formatCells="0" formatColumns="0" formatRows="0" insertColumns="0" insertRows="0" insertHyperlinks="0" deleteColumns="0" deleteRows="0" pivotTables="0"/>
  <mergeCells count="33">
    <mergeCell ref="B7:C7"/>
    <mergeCell ref="D7:J7"/>
    <mergeCell ref="B5:C5"/>
    <mergeCell ref="D5:E5"/>
    <mergeCell ref="F5:G5"/>
    <mergeCell ref="H5:J5"/>
    <mergeCell ref="F6:G6"/>
    <mergeCell ref="D6:E6"/>
    <mergeCell ref="B6:C6"/>
    <mergeCell ref="B2:D2"/>
    <mergeCell ref="E2:J2"/>
    <mergeCell ref="B4:C4"/>
    <mergeCell ref="D4:E4"/>
    <mergeCell ref="F4:G4"/>
    <mergeCell ref="H4:J4"/>
    <mergeCell ref="K28:N28"/>
    <mergeCell ref="K30:N38"/>
    <mergeCell ref="B14:C14"/>
    <mergeCell ref="B26:C26"/>
    <mergeCell ref="B28:E28"/>
    <mergeCell ref="B19:C19"/>
    <mergeCell ref="B22:C22"/>
    <mergeCell ref="B24:C24"/>
    <mergeCell ref="B16:C16"/>
    <mergeCell ref="B17:C17"/>
    <mergeCell ref="B18:C18"/>
    <mergeCell ref="B20:C20"/>
    <mergeCell ref="B21:C21"/>
    <mergeCell ref="B9:J9"/>
    <mergeCell ref="B12:C12"/>
    <mergeCell ref="B13:C13"/>
    <mergeCell ref="B23:C23"/>
    <mergeCell ref="B15:C15"/>
  </mergeCells>
  <conditionalFormatting sqref="D12:H22">
    <cfRule type="cellIs" dxfId="18" priority="2" operator="between">
      <formula>0</formula>
      <formula>3.15</formula>
    </cfRule>
  </conditionalFormatting>
  <conditionalFormatting sqref="H12:H22">
    <cfRule type="cellIs" dxfId="17" priority="1" operator="lessThan">
      <formula>3.5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C6F5F-9E7C-4BCB-B48C-4E1115192580}">
  <sheetPr>
    <tabColor theme="9" tint="-0.499984740745262"/>
    <pageSetUpPr fitToPage="1"/>
  </sheetPr>
  <dimension ref="B2:N41"/>
  <sheetViews>
    <sheetView showGridLines="0" topLeftCell="A20" workbookViewId="0">
      <selection activeCell="H24" sqref="H24"/>
    </sheetView>
  </sheetViews>
  <sheetFormatPr defaultColWidth="12.5703125" defaultRowHeight="15.75" customHeight="1" x14ac:dyDescent="0.2"/>
  <cols>
    <col min="1" max="1" width="3.42578125" customWidth="1"/>
    <col min="2" max="2" width="14.140625" customWidth="1"/>
    <col min="3" max="3" width="12.5703125" customWidth="1"/>
    <col min="4" max="4" width="17.28515625" bestFit="1" customWidth="1"/>
    <col min="5" max="9" width="12.5703125" customWidth="1"/>
    <col min="10" max="10" width="36.28515625" customWidth="1"/>
    <col min="11" max="20" width="7.5703125" customWidth="1"/>
  </cols>
  <sheetData>
    <row r="2" spans="2:10" ht="55.5" customHeight="1" x14ac:dyDescent="0.2">
      <c r="B2" s="670"/>
      <c r="C2" s="671"/>
      <c r="D2" s="672"/>
      <c r="E2" s="673" t="s">
        <v>213</v>
      </c>
      <c r="F2" s="671"/>
      <c r="G2" s="671"/>
      <c r="H2" s="671"/>
      <c r="I2" s="671"/>
      <c r="J2" s="672"/>
    </row>
    <row r="3" spans="2:10" ht="22.5" customHeight="1" x14ac:dyDescent="0.2">
      <c r="B3" s="46"/>
      <c r="C3" s="46"/>
      <c r="D3" s="47"/>
      <c r="E3" s="47"/>
      <c r="F3" s="47"/>
      <c r="G3" s="47"/>
      <c r="H3" s="47"/>
      <c r="I3" s="47"/>
    </row>
    <row r="4" spans="2:10" ht="42" customHeight="1" x14ac:dyDescent="0.2">
      <c r="B4" s="594" t="s">
        <v>214</v>
      </c>
      <c r="C4" s="596"/>
      <c r="D4" s="674" t="str">
        <f>Índex!B65</f>
        <v xml:space="preserve"> PS4.05_Ind01.</v>
      </c>
      <c r="E4" s="672"/>
      <c r="F4" s="594" t="s">
        <v>215</v>
      </c>
      <c r="G4" s="596"/>
      <c r="H4" s="674" t="str">
        <f>Índex!C65</f>
        <v>Els recursos facilitats pels serveis de biblioteca i de suport a la docència han respost a les meves necessitats (Enquesta sobre el grau de satisfacció dels egressats i de les egressades de la UAB)</v>
      </c>
      <c r="I4" s="671"/>
      <c r="J4" s="672"/>
    </row>
    <row r="5" spans="2:10" ht="22.5" customHeight="1" x14ac:dyDescent="0.2">
      <c r="B5" s="594" t="s">
        <v>216</v>
      </c>
      <c r="C5" s="596"/>
      <c r="D5" s="674" t="str">
        <f>Índex!F65</f>
        <v>≥3,5</v>
      </c>
      <c r="E5" s="672"/>
      <c r="F5" s="732" t="s">
        <v>217</v>
      </c>
      <c r="G5" s="596"/>
      <c r="H5" s="775" t="s">
        <v>241</v>
      </c>
      <c r="I5" s="671"/>
      <c r="J5" s="636"/>
    </row>
    <row r="6" spans="2:10" ht="22.5" customHeight="1" x14ac:dyDescent="0.2">
      <c r="B6" s="594" t="s">
        <v>219</v>
      </c>
      <c r="C6" s="596"/>
      <c r="D6" s="674" t="s">
        <v>220</v>
      </c>
      <c r="E6" s="672"/>
      <c r="F6" s="594" t="s">
        <v>242</v>
      </c>
      <c r="G6" s="596"/>
      <c r="H6" s="12" t="str">
        <f>Índex!E65</f>
        <v>Gestora de Qualitat</v>
      </c>
      <c r="J6" s="19"/>
    </row>
    <row r="7" spans="2:10" ht="22.5" customHeight="1" x14ac:dyDescent="0.2">
      <c r="B7" s="594" t="s">
        <v>222</v>
      </c>
      <c r="C7" s="596"/>
      <c r="D7" s="674" t="str">
        <f>Índex!G65</f>
        <v>PS4.05. Gestió de Serveis</v>
      </c>
      <c r="E7" s="671"/>
      <c r="F7" s="671"/>
      <c r="G7" s="671"/>
      <c r="H7" s="671"/>
      <c r="I7" s="671"/>
      <c r="J7" s="672"/>
    </row>
    <row r="8" spans="2:10" ht="7.5" customHeight="1" x14ac:dyDescent="0.2"/>
    <row r="9" spans="2:10" ht="22.5" customHeight="1" x14ac:dyDescent="0.2">
      <c r="B9" s="594" t="s">
        <v>223</v>
      </c>
      <c r="C9" s="595"/>
      <c r="D9" s="595"/>
      <c r="E9" s="595"/>
      <c r="F9" s="595"/>
      <c r="G9" s="595"/>
      <c r="H9" s="595"/>
      <c r="I9" s="595"/>
      <c r="J9" s="596"/>
    </row>
    <row r="10" spans="2:10" ht="22.5" customHeight="1" x14ac:dyDescent="0.2"/>
    <row r="11" spans="2:10" ht="22.5" customHeight="1" thickBot="1" x14ac:dyDescent="0.25">
      <c r="B11" s="16"/>
      <c r="C11" s="16"/>
      <c r="D11" s="94" t="s">
        <v>224</v>
      </c>
      <c r="E11" s="94" t="s">
        <v>225</v>
      </c>
      <c r="F11" s="94" t="s">
        <v>226</v>
      </c>
      <c r="G11" s="110" t="s">
        <v>227</v>
      </c>
      <c r="H11" s="110" t="s">
        <v>228</v>
      </c>
      <c r="I11" s="110" t="s">
        <v>229</v>
      </c>
    </row>
    <row r="12" spans="2:10" ht="41.25" customHeight="1" thickBot="1" x14ac:dyDescent="0.25">
      <c r="B12" s="695" t="s">
        <v>244</v>
      </c>
      <c r="C12" s="695"/>
      <c r="D12" s="31">
        <v>4.2699999999999996</v>
      </c>
      <c r="E12" s="31" t="s">
        <v>237</v>
      </c>
      <c r="F12" s="31">
        <v>4.25</v>
      </c>
      <c r="G12" s="31">
        <v>4</v>
      </c>
      <c r="H12" s="31" t="s">
        <v>571</v>
      </c>
      <c r="I12" s="207" t="s">
        <v>260</v>
      </c>
    </row>
    <row r="13" spans="2:10" ht="41.25" customHeight="1" thickBot="1" x14ac:dyDescent="0.25">
      <c r="B13" s="695" t="s">
        <v>343</v>
      </c>
      <c r="C13" s="695"/>
      <c r="D13" s="31" t="s">
        <v>237</v>
      </c>
      <c r="E13" s="31" t="s">
        <v>237</v>
      </c>
      <c r="F13" s="31">
        <v>3.8</v>
      </c>
      <c r="G13" s="31">
        <v>4</v>
      </c>
      <c r="H13" s="31" t="s">
        <v>572</v>
      </c>
      <c r="I13" s="170" t="s">
        <v>260</v>
      </c>
    </row>
    <row r="14" spans="2:10" ht="41.25" customHeight="1" thickBot="1" x14ac:dyDescent="0.25">
      <c r="B14" s="695" t="s">
        <v>293</v>
      </c>
      <c r="C14" s="695"/>
      <c r="D14" s="31" t="s">
        <v>237</v>
      </c>
      <c r="E14" s="31">
        <v>2.8</v>
      </c>
      <c r="F14" s="31">
        <v>4.17</v>
      </c>
      <c r="G14" s="31">
        <v>4</v>
      </c>
      <c r="H14" s="31" t="s">
        <v>573</v>
      </c>
      <c r="I14" s="170" t="s">
        <v>260</v>
      </c>
    </row>
    <row r="15" spans="2:10" ht="41.25" customHeight="1" thickBot="1" x14ac:dyDescent="0.25">
      <c r="B15" s="695" t="s">
        <v>247</v>
      </c>
      <c r="C15" s="695"/>
      <c r="D15" s="31">
        <v>4.1100000000000003</v>
      </c>
      <c r="E15" s="31">
        <v>3.81</v>
      </c>
      <c r="F15" s="31">
        <v>4.38</v>
      </c>
      <c r="G15" s="31">
        <v>3.5</v>
      </c>
      <c r="H15" s="31" t="s">
        <v>574</v>
      </c>
      <c r="I15" s="170" t="s">
        <v>260</v>
      </c>
    </row>
    <row r="16" spans="2:10" ht="41.25" customHeight="1" thickBot="1" x14ac:dyDescent="0.25">
      <c r="B16" s="695" t="s">
        <v>336</v>
      </c>
      <c r="C16" s="695"/>
      <c r="D16" s="31" t="s">
        <v>237</v>
      </c>
      <c r="E16" s="31" t="s">
        <v>237</v>
      </c>
      <c r="F16" s="31" t="s">
        <v>237</v>
      </c>
      <c r="G16" s="31">
        <v>4</v>
      </c>
      <c r="H16" s="31" t="s">
        <v>575</v>
      </c>
      <c r="I16" s="170" t="s">
        <v>260</v>
      </c>
    </row>
    <row r="17" spans="2:14" ht="41.25" customHeight="1" thickBot="1" x14ac:dyDescent="0.25">
      <c r="B17" s="695" t="s">
        <v>337</v>
      </c>
      <c r="C17" s="695"/>
      <c r="D17" s="31">
        <v>3.75</v>
      </c>
      <c r="E17" s="31">
        <v>4.1399999999999997</v>
      </c>
      <c r="F17" s="31" t="s">
        <v>237</v>
      </c>
      <c r="G17" s="31">
        <v>3.75</v>
      </c>
      <c r="H17" s="31" t="s">
        <v>576</v>
      </c>
      <c r="I17" s="170" t="s">
        <v>260</v>
      </c>
      <c r="K17" s="23"/>
      <c r="L17" s="28"/>
      <c r="M17" s="28"/>
    </row>
    <row r="18" spans="2:14" ht="41.25" customHeight="1" thickBot="1" x14ac:dyDescent="0.25">
      <c r="B18" s="695" t="s">
        <v>250</v>
      </c>
      <c r="C18" s="695"/>
      <c r="D18" s="31">
        <v>3.4</v>
      </c>
      <c r="E18" s="31" t="s">
        <v>237</v>
      </c>
      <c r="F18" s="31" t="s">
        <v>237</v>
      </c>
      <c r="G18" s="31" t="s">
        <v>237</v>
      </c>
      <c r="H18" s="31" t="s">
        <v>573</v>
      </c>
      <c r="I18" s="170" t="s">
        <v>260</v>
      </c>
      <c r="K18" s="70" t="s">
        <v>234</v>
      </c>
      <c r="L18" s="147"/>
      <c r="M18" s="147"/>
      <c r="N18" s="146"/>
    </row>
    <row r="19" spans="2:14" ht="41.25" customHeight="1" thickBot="1" x14ac:dyDescent="0.25">
      <c r="B19" s="695" t="s">
        <v>350</v>
      </c>
      <c r="C19" s="695"/>
      <c r="D19" s="31">
        <v>4.2</v>
      </c>
      <c r="E19" s="31">
        <v>4.43</v>
      </c>
      <c r="F19" s="31">
        <v>3.82</v>
      </c>
      <c r="G19" s="31">
        <v>2.8</v>
      </c>
      <c r="H19" s="31" t="s">
        <v>574</v>
      </c>
      <c r="I19" s="170" t="s">
        <v>260</v>
      </c>
      <c r="K19" s="9"/>
      <c r="L19" s="9"/>
      <c r="M19" s="9"/>
      <c r="N19" s="9"/>
    </row>
    <row r="20" spans="2:14" ht="41.25" customHeight="1" thickBot="1" x14ac:dyDescent="0.25">
      <c r="B20" s="695" t="s">
        <v>252</v>
      </c>
      <c r="C20" s="695"/>
      <c r="D20" s="31">
        <v>3.73</v>
      </c>
      <c r="E20" s="31">
        <v>4.22</v>
      </c>
      <c r="F20" s="31">
        <v>3.8</v>
      </c>
      <c r="G20" s="31">
        <v>3.5</v>
      </c>
      <c r="H20" s="31" t="s">
        <v>577</v>
      </c>
      <c r="I20" s="170" t="s">
        <v>260</v>
      </c>
      <c r="K20" s="634" t="s">
        <v>578</v>
      </c>
      <c r="L20" s="580"/>
      <c r="M20" s="580"/>
      <c r="N20" s="581"/>
    </row>
    <row r="21" spans="2:14" ht="41.25" customHeight="1" thickBot="1" x14ac:dyDescent="0.25">
      <c r="B21" s="695" t="s">
        <v>253</v>
      </c>
      <c r="C21" s="695"/>
      <c r="D21" s="31">
        <v>3.94</v>
      </c>
      <c r="E21" s="31">
        <v>3.78</v>
      </c>
      <c r="F21" s="31">
        <v>3.42</v>
      </c>
      <c r="G21" s="31">
        <v>4.5</v>
      </c>
      <c r="H21" s="31" t="s">
        <v>579</v>
      </c>
      <c r="I21" s="170" t="s">
        <v>260</v>
      </c>
      <c r="K21" s="582"/>
      <c r="L21" s="583"/>
      <c r="M21" s="583"/>
      <c r="N21" s="584"/>
    </row>
    <row r="22" spans="2:14" ht="41.25" customHeight="1" thickBot="1" x14ac:dyDescent="0.25">
      <c r="B22" s="695" t="s">
        <v>254</v>
      </c>
      <c r="C22" s="695"/>
      <c r="D22" s="31">
        <v>3.99</v>
      </c>
      <c r="E22" s="31">
        <v>3.89</v>
      </c>
      <c r="F22" s="31">
        <v>3.93</v>
      </c>
      <c r="G22" s="31">
        <v>3.7</v>
      </c>
      <c r="H22" s="31" t="s">
        <v>580</v>
      </c>
      <c r="I22" s="170" t="s">
        <v>260</v>
      </c>
      <c r="K22" s="582"/>
      <c r="L22" s="583"/>
      <c r="M22" s="583"/>
      <c r="N22" s="584"/>
    </row>
    <row r="23" spans="2:14" ht="22.5" customHeight="1" thickBot="1" x14ac:dyDescent="0.25">
      <c r="B23" s="872" t="str">
        <f>D5</f>
        <v>≥3,5</v>
      </c>
      <c r="C23" s="872"/>
      <c r="D23" s="133">
        <f>COUNTIF(D12:D22,"&gt;=3,5")</f>
        <v>7</v>
      </c>
      <c r="E23" s="133">
        <f>COUNTIF(E12:E22,"&gt;=3,5")</f>
        <v>6</v>
      </c>
      <c r="F23" s="133">
        <f>COUNTIF(F12:F22,"&gt;=3,5")</f>
        <v>7</v>
      </c>
      <c r="G23" s="17">
        <f>COUNTIF(G12:G22,"&gt;=3,5")</f>
        <v>9</v>
      </c>
      <c r="H23" s="17">
        <v>11</v>
      </c>
      <c r="I23" s="170" t="s">
        <v>260</v>
      </c>
      <c r="K23" s="582"/>
      <c r="L23" s="583"/>
      <c r="M23" s="583"/>
      <c r="N23" s="584"/>
    </row>
    <row r="24" spans="2:14" ht="22.5" customHeight="1" thickBot="1" x14ac:dyDescent="0.25">
      <c r="B24" s="689" t="s">
        <v>274</v>
      </c>
      <c r="C24" s="689"/>
      <c r="D24" s="17">
        <f>COUNT(D12:D22)</f>
        <v>8</v>
      </c>
      <c r="E24" s="17">
        <f>COUNT(E12:E22)</f>
        <v>7</v>
      </c>
      <c r="F24" s="17">
        <f>COUNT(F12:F22)</f>
        <v>8</v>
      </c>
      <c r="G24" s="17">
        <f>COUNT(G12:G22)</f>
        <v>10</v>
      </c>
      <c r="H24" s="17">
        <v>11</v>
      </c>
      <c r="I24" s="171" t="s">
        <v>260</v>
      </c>
      <c r="K24" s="582"/>
      <c r="L24" s="583"/>
      <c r="M24" s="583"/>
      <c r="N24" s="584"/>
    </row>
    <row r="25" spans="2:14" ht="22.5" customHeight="1" thickBot="1" x14ac:dyDescent="0.25">
      <c r="B25" s="45" t="s">
        <v>231</v>
      </c>
      <c r="C25" s="12" t="str">
        <f>D5</f>
        <v>≥3,5</v>
      </c>
      <c r="D25" s="74">
        <v>3.5</v>
      </c>
      <c r="E25" s="74">
        <v>3.5</v>
      </c>
      <c r="F25" s="74">
        <v>3.5</v>
      </c>
      <c r="G25" s="74">
        <v>3.5</v>
      </c>
      <c r="H25" s="74">
        <v>3.5</v>
      </c>
      <c r="I25" s="171" t="s">
        <v>260</v>
      </c>
      <c r="K25" s="582"/>
      <c r="L25" s="583"/>
      <c r="M25" s="583"/>
      <c r="N25" s="584"/>
    </row>
    <row r="26" spans="2:14" ht="22.5" customHeight="1" x14ac:dyDescent="0.2">
      <c r="B26" s="685" t="s">
        <v>232</v>
      </c>
      <c r="C26" s="735"/>
      <c r="D26" s="48">
        <f t="shared" ref="D26:I26" si="0">D23/D24</f>
        <v>0.875</v>
      </c>
      <c r="E26" s="48">
        <f t="shared" si="0"/>
        <v>0.8571428571428571</v>
      </c>
      <c r="F26" s="48">
        <f t="shared" si="0"/>
        <v>0.875</v>
      </c>
      <c r="G26" s="523">
        <f t="shared" si="0"/>
        <v>0.9</v>
      </c>
      <c r="H26" s="523">
        <f t="shared" si="0"/>
        <v>1</v>
      </c>
      <c r="I26" s="48" t="e">
        <f t="shared" si="0"/>
        <v>#VALUE!</v>
      </c>
      <c r="K26" s="582"/>
      <c r="L26" s="583"/>
      <c r="M26" s="583"/>
      <c r="N26" s="584"/>
    </row>
    <row r="27" spans="2:14" ht="22.5" customHeight="1" x14ac:dyDescent="0.25">
      <c r="B27" s="7"/>
      <c r="C27" s="7"/>
      <c r="D27" s="6"/>
      <c r="E27" s="6"/>
      <c r="F27" s="6"/>
      <c r="G27" s="6"/>
      <c r="H27" s="6"/>
      <c r="I27" s="6"/>
      <c r="K27" s="582"/>
      <c r="L27" s="583"/>
      <c r="M27" s="583"/>
      <c r="N27" s="584"/>
    </row>
    <row r="28" spans="2:14" ht="22.5" customHeight="1" x14ac:dyDescent="0.2">
      <c r="B28" s="594" t="s">
        <v>233</v>
      </c>
      <c r="C28" s="595"/>
      <c r="D28" s="595"/>
      <c r="E28" s="596"/>
      <c r="F28" s="8"/>
      <c r="K28" s="585"/>
      <c r="L28" s="586"/>
      <c r="M28" s="586"/>
      <c r="N28" s="587"/>
    </row>
    <row r="40" spans="8:10" ht="19.5" customHeight="1" x14ac:dyDescent="0.2">
      <c r="H40" s="588" t="s">
        <v>172</v>
      </c>
      <c r="I40" s="589"/>
      <c r="J40" s="589"/>
    </row>
    <row r="41" spans="8:10" ht="19.5" customHeight="1" x14ac:dyDescent="0.2">
      <c r="J41" t="s">
        <v>377</v>
      </c>
    </row>
  </sheetData>
  <sheetProtection sheet="1" formatCells="0" formatColumns="0" formatRows="0" insertColumns="0" insertRows="0" insertHyperlinks="0" deleteColumns="0" deleteRows="0" pivotTables="0"/>
  <mergeCells count="33">
    <mergeCell ref="B7:C7"/>
    <mergeCell ref="D7:J7"/>
    <mergeCell ref="B19:C19"/>
    <mergeCell ref="B14:C14"/>
    <mergeCell ref="B15:C15"/>
    <mergeCell ref="B16:C16"/>
    <mergeCell ref="B17:C17"/>
    <mergeCell ref="B9:J9"/>
    <mergeCell ref="B12:C12"/>
    <mergeCell ref="B13:C13"/>
    <mergeCell ref="H40:J40"/>
    <mergeCell ref="B21:C21"/>
    <mergeCell ref="B22:C22"/>
    <mergeCell ref="B23:C23"/>
    <mergeCell ref="B24:C24"/>
    <mergeCell ref="B26:C26"/>
    <mergeCell ref="B28:E28"/>
    <mergeCell ref="K20:N28"/>
    <mergeCell ref="B20:C20"/>
    <mergeCell ref="E2:J2"/>
    <mergeCell ref="B4:C4"/>
    <mergeCell ref="D4:E4"/>
    <mergeCell ref="F4:G4"/>
    <mergeCell ref="H4:J4"/>
    <mergeCell ref="B2:D2"/>
    <mergeCell ref="F5:G5"/>
    <mergeCell ref="H5:J5"/>
    <mergeCell ref="B6:C6"/>
    <mergeCell ref="D6:E6"/>
    <mergeCell ref="F6:G6"/>
    <mergeCell ref="B5:C5"/>
    <mergeCell ref="D5:E5"/>
    <mergeCell ref="B18:C18"/>
  </mergeCells>
  <conditionalFormatting sqref="D12:G22">
    <cfRule type="cellIs" dxfId="16" priority="2" operator="between">
      <formula>0</formula>
      <formula>3.15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9FB27-ACC1-4D5B-B114-191BA48A8C2B}">
  <sheetPr>
    <tabColor theme="9" tint="-0.499984740745262"/>
    <pageSetUpPr fitToPage="1"/>
  </sheetPr>
  <dimension ref="B2:N40"/>
  <sheetViews>
    <sheetView showGridLines="0" topLeftCell="A17" workbookViewId="0">
      <selection activeCell="I20" sqref="I20"/>
    </sheetView>
  </sheetViews>
  <sheetFormatPr defaultColWidth="12.5703125" defaultRowHeight="15.75" customHeight="1" x14ac:dyDescent="0.2"/>
  <cols>
    <col min="1" max="1" width="3.42578125" customWidth="1"/>
    <col min="2" max="2" width="14.140625" customWidth="1"/>
    <col min="3" max="3" width="12.5703125" customWidth="1"/>
    <col min="4" max="4" width="17.28515625" bestFit="1" customWidth="1"/>
    <col min="5" max="9" width="12.5703125" customWidth="1"/>
    <col min="10" max="10" width="36.28515625" customWidth="1"/>
    <col min="11" max="20" width="7.5703125" customWidth="1"/>
  </cols>
  <sheetData>
    <row r="2" spans="2:10" ht="55.5" customHeight="1" x14ac:dyDescent="0.2">
      <c r="B2" s="670"/>
      <c r="C2" s="671"/>
      <c r="D2" s="672"/>
      <c r="E2" s="673" t="s">
        <v>213</v>
      </c>
      <c r="F2" s="671"/>
      <c r="G2" s="671"/>
      <c r="H2" s="671"/>
      <c r="I2" s="671"/>
      <c r="J2" s="672"/>
    </row>
    <row r="3" spans="2:10" ht="22.5" customHeight="1" x14ac:dyDescent="0.2">
      <c r="B3" s="46"/>
      <c r="C3" s="46"/>
      <c r="D3" s="47"/>
      <c r="E3" s="47"/>
      <c r="F3" s="47"/>
      <c r="G3" s="47"/>
      <c r="H3" s="47"/>
      <c r="I3" s="47"/>
    </row>
    <row r="4" spans="2:10" ht="42" customHeight="1" x14ac:dyDescent="0.2">
      <c r="B4" s="594" t="s">
        <v>214</v>
      </c>
      <c r="C4" s="596"/>
      <c r="D4" s="674" t="str">
        <f>Índex!B66</f>
        <v xml:space="preserve">PS4.05_Ind02. </v>
      </c>
      <c r="E4" s="672"/>
      <c r="F4" s="594" t="s">
        <v>215</v>
      </c>
      <c r="G4" s="596"/>
      <c r="H4" s="674" t="str">
        <f>Índex!C66</f>
        <v>L’ús del Campus Virtual ha facilitat el meu aprenentatge (Enquestes sobre el grau de satisfacció dels egressats i de les egressades de la UAB)</v>
      </c>
      <c r="I4" s="671"/>
      <c r="J4" s="672"/>
    </row>
    <row r="5" spans="2:10" ht="22.5" customHeight="1" x14ac:dyDescent="0.2">
      <c r="B5" s="594" t="s">
        <v>368</v>
      </c>
      <c r="C5" s="596"/>
      <c r="D5" s="674" t="str">
        <f>Índex!F66</f>
        <v>≥3,5</v>
      </c>
      <c r="E5" s="672"/>
      <c r="F5" s="732" t="s">
        <v>217</v>
      </c>
      <c r="G5" s="596"/>
      <c r="H5" s="775" t="s">
        <v>241</v>
      </c>
      <c r="I5" s="671"/>
      <c r="J5" s="636"/>
    </row>
    <row r="6" spans="2:10" ht="22.5" customHeight="1" x14ac:dyDescent="0.2">
      <c r="B6" s="594" t="s">
        <v>219</v>
      </c>
      <c r="C6" s="596"/>
      <c r="D6" s="674" t="s">
        <v>220</v>
      </c>
      <c r="E6" s="672"/>
      <c r="F6" s="594" t="s">
        <v>242</v>
      </c>
      <c r="G6" s="596"/>
      <c r="H6" s="12" t="str">
        <f>Índex!E66</f>
        <v>Gestora de Qualitat</v>
      </c>
      <c r="J6" s="19"/>
    </row>
    <row r="7" spans="2:10" ht="22.5" customHeight="1" x14ac:dyDescent="0.2">
      <c r="B7" s="594" t="s">
        <v>222</v>
      </c>
      <c r="C7" s="596"/>
      <c r="D7" s="674" t="str">
        <f>Índex!G66</f>
        <v>PS4.05. Gestió de Serveis</v>
      </c>
      <c r="E7" s="671"/>
      <c r="F7" s="671"/>
      <c r="G7" s="671"/>
      <c r="H7" s="671"/>
      <c r="I7" s="671"/>
      <c r="J7" s="672"/>
    </row>
    <row r="8" spans="2:10" ht="7.5" customHeight="1" x14ac:dyDescent="0.2"/>
    <row r="9" spans="2:10" ht="22.5" customHeight="1" x14ac:dyDescent="0.2">
      <c r="B9" s="594" t="s">
        <v>223</v>
      </c>
      <c r="C9" s="595"/>
      <c r="D9" s="595"/>
      <c r="E9" s="595"/>
      <c r="F9" s="595"/>
      <c r="G9" s="595"/>
      <c r="H9" s="595"/>
      <c r="I9" s="595"/>
      <c r="J9" s="596"/>
    </row>
    <row r="10" spans="2:10" ht="22.5" customHeight="1" x14ac:dyDescent="0.2"/>
    <row r="11" spans="2:10" ht="22.5" customHeight="1" x14ac:dyDescent="0.2">
      <c r="B11" s="16"/>
      <c r="C11" s="16"/>
      <c r="D11" s="94" t="s">
        <v>224</v>
      </c>
      <c r="E11" s="94" t="s">
        <v>225</v>
      </c>
      <c r="F11" s="94" t="s">
        <v>226</v>
      </c>
      <c r="G11" s="94" t="s">
        <v>227</v>
      </c>
      <c r="H11" s="94" t="s">
        <v>228</v>
      </c>
      <c r="I11" s="94" t="s">
        <v>229</v>
      </c>
    </row>
    <row r="12" spans="2:10" ht="41.25" customHeight="1" thickBot="1" x14ac:dyDescent="0.25">
      <c r="B12" s="695" t="s">
        <v>244</v>
      </c>
      <c r="C12" s="751"/>
      <c r="D12" s="31">
        <v>4.09</v>
      </c>
      <c r="E12" s="56" t="s">
        <v>237</v>
      </c>
      <c r="F12" s="31">
        <v>4.13</v>
      </c>
      <c r="G12" s="31">
        <v>3.8</v>
      </c>
      <c r="H12" s="31">
        <v>4</v>
      </c>
      <c r="I12" s="134" t="s">
        <v>260</v>
      </c>
    </row>
    <row r="13" spans="2:10" ht="41.25" customHeight="1" thickBot="1" x14ac:dyDescent="0.25">
      <c r="B13" s="695" t="s">
        <v>343</v>
      </c>
      <c r="C13" s="751"/>
      <c r="D13" s="56" t="s">
        <v>237</v>
      </c>
      <c r="E13" s="56" t="s">
        <v>237</v>
      </c>
      <c r="F13" s="31">
        <v>4</v>
      </c>
      <c r="G13" s="31">
        <v>5</v>
      </c>
      <c r="H13" s="31">
        <v>3.71</v>
      </c>
      <c r="I13" s="134" t="s">
        <v>260</v>
      </c>
    </row>
    <row r="14" spans="2:10" ht="41.25" customHeight="1" thickBot="1" x14ac:dyDescent="0.25">
      <c r="B14" s="695" t="s">
        <v>293</v>
      </c>
      <c r="C14" s="751"/>
      <c r="D14" s="56" t="s">
        <v>237</v>
      </c>
      <c r="E14" s="31">
        <v>4.4000000000000004</v>
      </c>
      <c r="F14" s="31">
        <v>4.5</v>
      </c>
      <c r="G14" s="31">
        <v>4</v>
      </c>
      <c r="H14" s="31">
        <v>4.67</v>
      </c>
      <c r="I14" s="134" t="s">
        <v>260</v>
      </c>
    </row>
    <row r="15" spans="2:10" ht="41.25" customHeight="1" thickBot="1" x14ac:dyDescent="0.25">
      <c r="B15" s="695" t="s">
        <v>247</v>
      </c>
      <c r="C15" s="751"/>
      <c r="D15" s="31">
        <v>3.56</v>
      </c>
      <c r="E15" s="31">
        <v>3.9</v>
      </c>
      <c r="F15" s="31">
        <v>3.92</v>
      </c>
      <c r="G15" s="31">
        <v>4.17</v>
      </c>
      <c r="H15" s="31">
        <v>4.05</v>
      </c>
      <c r="I15" s="134" t="s">
        <v>260</v>
      </c>
    </row>
    <row r="16" spans="2:10" ht="41.25" customHeight="1" thickBot="1" x14ac:dyDescent="0.25">
      <c r="B16" s="695" t="s">
        <v>336</v>
      </c>
      <c r="C16" s="751"/>
      <c r="D16" s="56" t="s">
        <v>237</v>
      </c>
      <c r="E16" s="56" t="s">
        <v>237</v>
      </c>
      <c r="F16" s="56" t="s">
        <v>237</v>
      </c>
      <c r="G16" s="31">
        <v>4</v>
      </c>
      <c r="H16" s="31">
        <v>4</v>
      </c>
      <c r="I16" s="493" t="s">
        <v>260</v>
      </c>
    </row>
    <row r="17" spans="2:14" ht="41.25" customHeight="1" thickBot="1" x14ac:dyDescent="0.25">
      <c r="B17" s="695" t="s">
        <v>337</v>
      </c>
      <c r="C17" s="751"/>
      <c r="D17" s="31">
        <v>3.38</v>
      </c>
      <c r="E17" s="31">
        <v>3.57</v>
      </c>
      <c r="F17" s="56" t="s">
        <v>237</v>
      </c>
      <c r="G17" s="31">
        <v>4.5</v>
      </c>
      <c r="H17" s="31">
        <v>4.25</v>
      </c>
      <c r="I17" s="134" t="s">
        <v>260</v>
      </c>
      <c r="K17" s="23"/>
      <c r="L17" s="28"/>
      <c r="M17" s="28"/>
    </row>
    <row r="18" spans="2:14" ht="41.25" customHeight="1" thickBot="1" x14ac:dyDescent="0.25">
      <c r="B18" s="695" t="s">
        <v>250</v>
      </c>
      <c r="C18" s="751"/>
      <c r="D18" s="31">
        <v>4.2</v>
      </c>
      <c r="E18" s="56" t="s">
        <v>237</v>
      </c>
      <c r="F18" s="56" t="s">
        <v>237</v>
      </c>
      <c r="G18" s="56" t="s">
        <v>237</v>
      </c>
      <c r="H18" s="31">
        <v>4.1399999999999997</v>
      </c>
      <c r="I18" s="134" t="s">
        <v>260</v>
      </c>
      <c r="K18" s="23"/>
      <c r="L18" s="28"/>
      <c r="M18" s="28"/>
    </row>
    <row r="19" spans="2:14" ht="41.25" customHeight="1" thickBot="1" x14ac:dyDescent="0.25">
      <c r="B19" s="695" t="s">
        <v>350</v>
      </c>
      <c r="C19" s="695"/>
      <c r="D19" s="34" t="s">
        <v>237</v>
      </c>
      <c r="E19" s="34" t="s">
        <v>237</v>
      </c>
      <c r="F19" s="56" t="s">
        <v>237</v>
      </c>
      <c r="G19" s="34" t="s">
        <v>237</v>
      </c>
      <c r="H19" s="36">
        <v>4</v>
      </c>
      <c r="I19" s="134" t="s">
        <v>260</v>
      </c>
      <c r="K19" s="23"/>
      <c r="L19" s="28"/>
      <c r="M19" s="28"/>
    </row>
    <row r="20" spans="2:14" ht="41.25" customHeight="1" thickBot="1" x14ac:dyDescent="0.25">
      <c r="B20" s="695" t="s">
        <v>252</v>
      </c>
      <c r="C20" s="751"/>
      <c r="D20" s="31">
        <v>4</v>
      </c>
      <c r="E20" s="31">
        <v>3.5</v>
      </c>
      <c r="F20" s="31">
        <v>3.45</v>
      </c>
      <c r="G20" s="31">
        <v>3.2</v>
      </c>
      <c r="H20" s="31">
        <v>4.37</v>
      </c>
      <c r="I20" s="134" t="s">
        <v>260</v>
      </c>
      <c r="J20" s="29"/>
    </row>
    <row r="21" spans="2:14" ht="41.25" customHeight="1" thickBot="1" x14ac:dyDescent="0.25">
      <c r="B21" s="695" t="s">
        <v>253</v>
      </c>
      <c r="C21" s="751"/>
      <c r="D21" s="31">
        <v>3.81</v>
      </c>
      <c r="E21" s="31">
        <v>4.1500000000000004</v>
      </c>
      <c r="F21" s="31">
        <v>3.25</v>
      </c>
      <c r="G21" s="31">
        <v>4.5</v>
      </c>
      <c r="H21" s="31">
        <v>4.2699999999999996</v>
      </c>
      <c r="I21" s="134" t="s">
        <v>260</v>
      </c>
      <c r="J21" s="30"/>
      <c r="K21" s="55"/>
      <c r="L21" s="55"/>
      <c r="M21" s="55"/>
      <c r="N21" s="55"/>
    </row>
    <row r="22" spans="2:14" ht="41.25" customHeight="1" thickBot="1" x14ac:dyDescent="0.25">
      <c r="B22" s="752" t="s">
        <v>254</v>
      </c>
      <c r="C22" s="753"/>
      <c r="D22" s="31">
        <v>3.79</v>
      </c>
      <c r="E22" s="31">
        <v>3.96</v>
      </c>
      <c r="F22" s="31">
        <v>3.88</v>
      </c>
      <c r="G22" s="31">
        <v>4.5</v>
      </c>
      <c r="H22" s="31">
        <v>4.1500000000000004</v>
      </c>
      <c r="I22" s="134" t="s">
        <v>260</v>
      </c>
      <c r="J22" s="30"/>
      <c r="K22" s="55"/>
      <c r="L22" s="55"/>
      <c r="M22" s="55"/>
      <c r="N22" s="55"/>
    </row>
    <row r="23" spans="2:14" ht="22.5" customHeight="1" thickBot="1" x14ac:dyDescent="0.25">
      <c r="B23" s="816" t="str">
        <f>D5</f>
        <v>≥3,5</v>
      </c>
      <c r="C23" s="816"/>
      <c r="D23" s="133">
        <f t="shared" ref="D23:H23" si="0">COUNTIF(D12:D22,"&gt;=3,5")</f>
        <v>6</v>
      </c>
      <c r="E23" s="133">
        <f t="shared" si="0"/>
        <v>6</v>
      </c>
      <c r="F23" s="133">
        <f t="shared" si="0"/>
        <v>5</v>
      </c>
      <c r="G23" s="133">
        <f t="shared" si="0"/>
        <v>8</v>
      </c>
      <c r="H23" s="133">
        <f t="shared" si="0"/>
        <v>11</v>
      </c>
      <c r="I23" s="134" t="s">
        <v>260</v>
      </c>
    </row>
    <row r="24" spans="2:14" ht="22.5" customHeight="1" x14ac:dyDescent="0.2">
      <c r="B24" s="689" t="s">
        <v>274</v>
      </c>
      <c r="C24" s="689"/>
      <c r="D24" s="17">
        <f t="shared" ref="D24:I24" si="1">COUNT(D12:D22)</f>
        <v>7</v>
      </c>
      <c r="E24" s="17">
        <f t="shared" si="1"/>
        <v>6</v>
      </c>
      <c r="F24" s="17">
        <f t="shared" si="1"/>
        <v>7</v>
      </c>
      <c r="G24" s="17">
        <f t="shared" si="1"/>
        <v>9</v>
      </c>
      <c r="H24" s="17">
        <f t="shared" si="1"/>
        <v>11</v>
      </c>
      <c r="I24" s="17">
        <f t="shared" si="1"/>
        <v>0</v>
      </c>
    </row>
    <row r="25" spans="2:14" ht="22.5" customHeight="1" x14ac:dyDescent="0.2">
      <c r="B25" s="45" t="s">
        <v>231</v>
      </c>
      <c r="C25" s="12" t="str">
        <f>D5</f>
        <v>≥3,5</v>
      </c>
      <c r="D25" s="74">
        <v>3.5</v>
      </c>
      <c r="E25" s="74">
        <v>3.5</v>
      </c>
      <c r="F25" s="74">
        <v>3.5</v>
      </c>
      <c r="G25" s="74">
        <v>3.5</v>
      </c>
      <c r="H25" s="74">
        <v>3.5</v>
      </c>
      <c r="I25" s="74">
        <v>3.5</v>
      </c>
    </row>
    <row r="26" spans="2:14" ht="22.5" customHeight="1" x14ac:dyDescent="0.2">
      <c r="B26" s="685" t="s">
        <v>232</v>
      </c>
      <c r="C26" s="735"/>
      <c r="D26" s="48">
        <f t="shared" ref="D26:I26" si="2">D23/D24</f>
        <v>0.8571428571428571</v>
      </c>
      <c r="E26" s="523">
        <f t="shared" si="2"/>
        <v>1</v>
      </c>
      <c r="F26" s="48">
        <f t="shared" si="2"/>
        <v>0.7142857142857143</v>
      </c>
      <c r="G26" s="48">
        <f t="shared" si="2"/>
        <v>0.88888888888888884</v>
      </c>
      <c r="H26" s="523">
        <f t="shared" si="2"/>
        <v>1</v>
      </c>
      <c r="I26" s="48" t="e">
        <f t="shared" si="2"/>
        <v>#VALUE!</v>
      </c>
    </row>
    <row r="27" spans="2:14" ht="22.5" customHeight="1" x14ac:dyDescent="0.25">
      <c r="B27" s="7"/>
      <c r="C27" s="7"/>
      <c r="D27" s="6"/>
      <c r="E27" s="6"/>
      <c r="F27" s="6"/>
      <c r="G27" s="6"/>
      <c r="H27" s="6"/>
      <c r="I27" s="6"/>
      <c r="J27" s="6"/>
    </row>
    <row r="28" spans="2:14" ht="22.5" customHeight="1" x14ac:dyDescent="0.2">
      <c r="B28" s="594" t="s">
        <v>233</v>
      </c>
      <c r="C28" s="595"/>
      <c r="D28" s="595"/>
      <c r="E28" s="596"/>
      <c r="F28" s="8"/>
      <c r="K28" s="594" t="s">
        <v>234</v>
      </c>
      <c r="L28" s="595"/>
      <c r="M28" s="595"/>
      <c r="N28" s="596"/>
    </row>
    <row r="29" spans="2:14" ht="22.5" customHeight="1" x14ac:dyDescent="0.2">
      <c r="B29" s="8"/>
      <c r="C29" s="8"/>
      <c r="D29" s="8"/>
      <c r="E29" s="8"/>
      <c r="F29" s="8"/>
      <c r="K29" s="9"/>
      <c r="L29" s="9"/>
      <c r="M29" s="9"/>
      <c r="N29" s="9"/>
    </row>
    <row r="30" spans="2:14" ht="6" customHeight="1" x14ac:dyDescent="0.2">
      <c r="B30" s="8"/>
      <c r="C30" s="8"/>
      <c r="D30" s="8"/>
      <c r="E30" s="8"/>
      <c r="F30" s="8"/>
      <c r="K30" s="634" t="s">
        <v>581</v>
      </c>
      <c r="L30" s="580"/>
      <c r="M30" s="580"/>
      <c r="N30" s="581"/>
    </row>
    <row r="31" spans="2:14" ht="19.5" customHeight="1" x14ac:dyDescent="0.2">
      <c r="B31" s="8"/>
      <c r="C31" s="8"/>
      <c r="D31" s="8"/>
      <c r="E31" s="8"/>
      <c r="F31" s="8"/>
      <c r="K31" s="582"/>
      <c r="L31" s="583"/>
      <c r="M31" s="583"/>
      <c r="N31" s="584"/>
    </row>
    <row r="32" spans="2:14" ht="19.5" customHeight="1" x14ac:dyDescent="0.2">
      <c r="B32" s="8"/>
      <c r="C32" s="8"/>
      <c r="D32" s="8"/>
      <c r="E32" s="8"/>
      <c r="F32" s="8"/>
      <c r="K32" s="582"/>
      <c r="L32" s="583"/>
      <c r="M32" s="583"/>
      <c r="N32" s="584"/>
    </row>
    <row r="33" spans="8:14" ht="19.5" customHeight="1" x14ac:dyDescent="0.2">
      <c r="K33" s="582"/>
      <c r="L33" s="583"/>
      <c r="M33" s="583"/>
      <c r="N33" s="584"/>
    </row>
    <row r="34" spans="8:14" ht="19.5" customHeight="1" x14ac:dyDescent="0.2">
      <c r="K34" s="582"/>
      <c r="L34" s="583"/>
      <c r="M34" s="583"/>
      <c r="N34" s="584"/>
    </row>
    <row r="35" spans="8:14" ht="19.5" customHeight="1" x14ac:dyDescent="0.2">
      <c r="K35" s="582"/>
      <c r="L35" s="583"/>
      <c r="M35" s="583"/>
      <c r="N35" s="584"/>
    </row>
    <row r="36" spans="8:14" ht="19.5" customHeight="1" x14ac:dyDescent="0.2">
      <c r="K36" s="582"/>
      <c r="L36" s="583"/>
      <c r="M36" s="583"/>
      <c r="N36" s="584"/>
    </row>
    <row r="37" spans="8:14" ht="19.5" customHeight="1" x14ac:dyDescent="0.2">
      <c r="K37" s="582"/>
      <c r="L37" s="583"/>
      <c r="M37" s="583"/>
      <c r="N37" s="584"/>
    </row>
    <row r="38" spans="8:14" ht="19.5" customHeight="1" x14ac:dyDescent="0.2">
      <c r="K38" s="585"/>
      <c r="L38" s="586"/>
      <c r="M38" s="586"/>
      <c r="N38" s="587"/>
    </row>
    <row r="39" spans="8:14" ht="19.5" customHeight="1" x14ac:dyDescent="0.2"/>
    <row r="40" spans="8:14" ht="19.5" customHeight="1" x14ac:dyDescent="0.2">
      <c r="H40" s="588" t="s">
        <v>172</v>
      </c>
      <c r="I40" s="589"/>
      <c r="J40" s="589"/>
    </row>
  </sheetData>
  <sheetProtection sheet="1" formatCells="0" formatColumns="0" formatRows="0" insertColumns="0" insertRows="0" insertHyperlinks="0" deleteColumns="0" deleteRows="0" pivotTables="0"/>
  <mergeCells count="34">
    <mergeCell ref="K30:N38"/>
    <mergeCell ref="H40:J40"/>
    <mergeCell ref="B23:C23"/>
    <mergeCell ref="B24:C24"/>
    <mergeCell ref="B26:C26"/>
    <mergeCell ref="B28:E28"/>
    <mergeCell ref="K28:N28"/>
    <mergeCell ref="B7:C7"/>
    <mergeCell ref="D7:J7"/>
    <mergeCell ref="B22:C22"/>
    <mergeCell ref="B9:J9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5:C5"/>
    <mergeCell ref="D5:E5"/>
    <mergeCell ref="F5:G5"/>
    <mergeCell ref="H5:J5"/>
    <mergeCell ref="B6:C6"/>
    <mergeCell ref="D6:E6"/>
    <mergeCell ref="F6:G6"/>
    <mergeCell ref="B2:D2"/>
    <mergeCell ref="E2:J2"/>
    <mergeCell ref="B4:C4"/>
    <mergeCell ref="D4:E4"/>
    <mergeCell ref="F4:G4"/>
    <mergeCell ref="H4:J4"/>
  </mergeCells>
  <conditionalFormatting sqref="D12:G18 F19 D20:G22">
    <cfRule type="cellIs" dxfId="15" priority="4" operator="between">
      <formula>0</formula>
      <formula>3.15</formula>
    </cfRule>
  </conditionalFormatting>
  <conditionalFormatting sqref="D12:H22">
    <cfRule type="cellIs" dxfId="14" priority="1" operator="lessThan">
      <formula>3.5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B7DA6-0E8B-4644-8A1D-1EED9C83A898}">
  <sheetPr>
    <tabColor theme="9" tint="-0.499984740745262"/>
    <pageSetUpPr fitToPage="1"/>
  </sheetPr>
  <dimension ref="B2:L45"/>
  <sheetViews>
    <sheetView showGridLines="0" topLeftCell="A27" workbookViewId="0">
      <selection activeCell="G31" sqref="G31"/>
    </sheetView>
  </sheetViews>
  <sheetFormatPr defaultColWidth="12.5703125" defaultRowHeight="15.75" customHeight="1" x14ac:dyDescent="0.2"/>
  <cols>
    <col min="1" max="1" width="3.42578125" customWidth="1"/>
    <col min="2" max="2" width="14.140625" customWidth="1"/>
    <col min="3" max="3" width="12.5703125" customWidth="1"/>
    <col min="4" max="4" width="17.28515625" bestFit="1" customWidth="1"/>
    <col min="5" max="8" width="12.5703125" customWidth="1"/>
    <col min="9" max="9" width="36.28515625" customWidth="1"/>
    <col min="10" max="10" width="8.85546875" customWidth="1"/>
    <col min="11" max="20" width="7.5703125" customWidth="1"/>
  </cols>
  <sheetData>
    <row r="2" spans="2:9" ht="55.5" customHeight="1" x14ac:dyDescent="0.2">
      <c r="B2" s="670"/>
      <c r="C2" s="671"/>
      <c r="D2" s="672"/>
      <c r="E2" s="673" t="s">
        <v>213</v>
      </c>
      <c r="F2" s="671"/>
      <c r="G2" s="671"/>
      <c r="H2" s="671"/>
      <c r="I2" s="672"/>
    </row>
    <row r="3" spans="2:9" ht="22.5" customHeight="1" x14ac:dyDescent="0.2">
      <c r="B3" s="46"/>
      <c r="C3" s="46"/>
      <c r="D3" s="47"/>
      <c r="E3" s="47"/>
      <c r="F3" s="47"/>
      <c r="G3" s="47"/>
      <c r="H3" s="47"/>
    </row>
    <row r="4" spans="2:9" ht="42" customHeight="1" x14ac:dyDescent="0.2">
      <c r="B4" s="594" t="s">
        <v>214</v>
      </c>
      <c r="C4" s="596"/>
      <c r="D4" s="674" t="str">
        <f>Índex!B67</f>
        <v xml:space="preserve"> PS5.03_Ind01.</v>
      </c>
      <c r="E4" s="672"/>
      <c r="F4" s="70" t="s">
        <v>215</v>
      </c>
      <c r="G4" s="674" t="str">
        <f>Índex!C67</f>
        <v xml:space="preserve"> Taxa d’ocupació de les persones titulades, per titulació. (Indicador PE1.03-Ind-05) </v>
      </c>
      <c r="H4" s="671"/>
      <c r="I4" s="672"/>
    </row>
    <row r="5" spans="2:9" ht="22.5" customHeight="1" x14ac:dyDescent="0.2">
      <c r="B5" s="594" t="s">
        <v>323</v>
      </c>
      <c r="C5" s="596"/>
      <c r="D5" s="736">
        <f>Índex!F67</f>
        <v>0.7</v>
      </c>
      <c r="E5" s="672"/>
      <c r="F5" s="71" t="s">
        <v>217</v>
      </c>
      <c r="G5" s="775" t="s">
        <v>241</v>
      </c>
      <c r="H5" s="671"/>
      <c r="I5" s="636"/>
    </row>
    <row r="6" spans="2:9" ht="22.5" customHeight="1" x14ac:dyDescent="0.2">
      <c r="B6" s="594" t="s">
        <v>219</v>
      </c>
      <c r="C6" s="596"/>
      <c r="D6" s="674" t="s">
        <v>220</v>
      </c>
      <c r="E6" s="672"/>
      <c r="F6" s="70" t="s">
        <v>242</v>
      </c>
      <c r="G6" s="112" t="str">
        <f>Índex!E67</f>
        <v>Gestora de Qualitat</v>
      </c>
      <c r="H6" s="129"/>
      <c r="I6" s="108"/>
    </row>
    <row r="7" spans="2:9" ht="22.5" customHeight="1" x14ac:dyDescent="0.2">
      <c r="B7" s="594" t="s">
        <v>222</v>
      </c>
      <c r="C7" s="596"/>
      <c r="D7" s="875">
        <f>Índex!G67</f>
        <v>0</v>
      </c>
      <c r="E7" s="876"/>
      <c r="F7" s="876"/>
      <c r="G7" s="876"/>
      <c r="H7" s="876"/>
      <c r="I7" s="877"/>
    </row>
    <row r="8" spans="2:9" ht="7.5" customHeight="1" x14ac:dyDescent="0.2"/>
    <row r="9" spans="2:9" ht="22.5" customHeight="1" x14ac:dyDescent="0.2">
      <c r="B9" s="594" t="s">
        <v>223</v>
      </c>
      <c r="C9" s="595"/>
      <c r="D9" s="595"/>
      <c r="E9" s="595"/>
      <c r="F9" s="595"/>
      <c r="G9" s="595"/>
      <c r="H9" s="595"/>
      <c r="I9" s="596"/>
    </row>
    <row r="10" spans="2:9" ht="22.5" customHeight="1" x14ac:dyDescent="0.2">
      <c r="B10" s="20" t="s">
        <v>172</v>
      </c>
      <c r="C10" s="13"/>
      <c r="D10" s="13"/>
      <c r="E10" s="13"/>
      <c r="F10" s="13"/>
      <c r="G10" s="13"/>
      <c r="H10" s="13"/>
      <c r="I10" s="13"/>
    </row>
    <row r="11" spans="2:9" ht="22.5" customHeight="1" x14ac:dyDescent="0.2"/>
    <row r="12" spans="2:9" ht="22.5" customHeight="1" thickBot="1" x14ac:dyDescent="0.25">
      <c r="B12" s="16"/>
      <c r="C12" s="16"/>
      <c r="D12" s="103">
        <v>2014</v>
      </c>
      <c r="E12" s="103">
        <v>2017</v>
      </c>
      <c r="F12" s="103">
        <v>2020</v>
      </c>
      <c r="G12" s="103">
        <v>2023</v>
      </c>
      <c r="H12" s="24"/>
    </row>
    <row r="13" spans="2:9" ht="41.25" customHeight="1" thickBot="1" x14ac:dyDescent="0.25">
      <c r="B13" s="695" t="s">
        <v>244</v>
      </c>
      <c r="C13" s="751"/>
      <c r="D13" s="64">
        <v>0.7</v>
      </c>
      <c r="E13" s="75">
        <v>0.84199999999999997</v>
      </c>
      <c r="F13" s="64">
        <v>0.77</v>
      </c>
      <c r="G13" s="494">
        <v>0.85699999999999998</v>
      </c>
      <c r="H13" s="180"/>
    </row>
    <row r="14" spans="2:9" ht="16.5" thickBot="1" x14ac:dyDescent="0.25">
      <c r="B14" s="695" t="s">
        <v>246</v>
      </c>
      <c r="C14" s="751"/>
      <c r="D14" s="64">
        <v>0.87</v>
      </c>
      <c r="E14" s="75">
        <v>0.95699999999999996</v>
      </c>
      <c r="F14" s="75">
        <v>0.90300000000000002</v>
      </c>
      <c r="G14" s="495">
        <v>0.92600000000000005</v>
      </c>
      <c r="H14" s="180"/>
    </row>
    <row r="15" spans="2:9" ht="16.5" thickBot="1" x14ac:dyDescent="0.25">
      <c r="B15" s="695" t="s">
        <v>247</v>
      </c>
      <c r="C15" s="751"/>
      <c r="D15" s="44" t="s">
        <v>275</v>
      </c>
      <c r="E15" s="44" t="s">
        <v>275</v>
      </c>
      <c r="F15" s="64">
        <v>0.87</v>
      </c>
      <c r="G15" s="495">
        <v>0.91100000000000003</v>
      </c>
      <c r="H15" s="180"/>
    </row>
    <row r="16" spans="2:9" ht="37.5" customHeight="1" thickBot="1" x14ac:dyDescent="0.25">
      <c r="B16" s="695" t="s">
        <v>250</v>
      </c>
      <c r="C16" s="751"/>
      <c r="D16" s="44" t="s">
        <v>276</v>
      </c>
      <c r="E16" s="75">
        <v>0.69599999999999995</v>
      </c>
      <c r="F16" s="75">
        <v>0.90300000000000002</v>
      </c>
      <c r="G16" s="495">
        <v>0.93200000000000005</v>
      </c>
      <c r="H16" s="180"/>
    </row>
    <row r="17" spans="2:7" ht="50.25" customHeight="1" thickBot="1" x14ac:dyDescent="0.25">
      <c r="B17" s="695" t="s">
        <v>251</v>
      </c>
      <c r="C17" s="751"/>
      <c r="D17" s="44" t="s">
        <v>237</v>
      </c>
      <c r="E17" s="44" t="s">
        <v>237</v>
      </c>
      <c r="F17" s="44" t="s">
        <v>238</v>
      </c>
      <c r="G17" s="170" t="s">
        <v>277</v>
      </c>
    </row>
    <row r="18" spans="2:7" ht="29.25" customHeight="1" x14ac:dyDescent="0.2">
      <c r="B18" s="695" t="s">
        <v>252</v>
      </c>
      <c r="C18" s="751"/>
      <c r="D18" s="75">
        <v>0.95699999999999996</v>
      </c>
      <c r="E18" s="64">
        <v>0.87</v>
      </c>
      <c r="F18" s="75">
        <v>0.90300000000000002</v>
      </c>
      <c r="G18" s="497">
        <v>0.88600000000000001</v>
      </c>
    </row>
    <row r="19" spans="2:7" ht="29.25" customHeight="1" x14ac:dyDescent="0.2">
      <c r="B19" s="695" t="s">
        <v>253</v>
      </c>
      <c r="C19" s="751"/>
      <c r="D19" s="44" t="s">
        <v>278</v>
      </c>
      <c r="E19" s="44" t="s">
        <v>279</v>
      </c>
      <c r="F19" s="496">
        <v>0.91100000000000003</v>
      </c>
      <c r="G19" s="476">
        <v>0.83599999999999997</v>
      </c>
    </row>
    <row r="20" spans="2:7" ht="15" customHeight="1" x14ac:dyDescent="0.2">
      <c r="B20" s="695" t="s">
        <v>254</v>
      </c>
      <c r="C20" s="751"/>
      <c r="D20" s="75">
        <v>0.81299999999999994</v>
      </c>
      <c r="E20" s="75">
        <v>0.91800000000000004</v>
      </c>
      <c r="F20" s="496">
        <v>0.90600000000000003</v>
      </c>
      <c r="G20" s="498">
        <v>0.90100000000000002</v>
      </c>
    </row>
    <row r="21" spans="2:7" ht="39" customHeight="1" x14ac:dyDescent="0.2">
      <c r="B21" s="695" t="s">
        <v>267</v>
      </c>
      <c r="C21" s="751"/>
      <c r="D21" s="75">
        <v>0.878</v>
      </c>
      <c r="E21" s="75">
        <v>0.92200000000000004</v>
      </c>
      <c r="F21" s="496">
        <v>0.875</v>
      </c>
      <c r="G21" s="499">
        <v>0.9</v>
      </c>
    </row>
    <row r="22" spans="2:7" ht="45" customHeight="1" thickBot="1" x14ac:dyDescent="0.25">
      <c r="B22" s="695" t="s">
        <v>280</v>
      </c>
      <c r="C22" s="751"/>
      <c r="D22" s="75">
        <v>0.76300000000000001</v>
      </c>
      <c r="E22" s="75">
        <v>0.76800000000000002</v>
      </c>
      <c r="F22" s="64">
        <v>0.85</v>
      </c>
      <c r="G22" s="495">
        <v>0.95199999999999996</v>
      </c>
    </row>
    <row r="23" spans="2:7" ht="28.5" customHeight="1" thickBot="1" x14ac:dyDescent="0.25">
      <c r="B23" s="695" t="s">
        <v>281</v>
      </c>
      <c r="C23" s="751"/>
      <c r="D23" s="75">
        <v>0.71899999999999997</v>
      </c>
      <c r="E23" s="75">
        <v>0.81299999999999994</v>
      </c>
      <c r="F23" s="75">
        <v>0.877</v>
      </c>
      <c r="G23" s="495">
        <v>0.76500000000000001</v>
      </c>
    </row>
    <row r="24" spans="2:7" ht="33.75" customHeight="1" thickBot="1" x14ac:dyDescent="0.25">
      <c r="B24" s="695" t="s">
        <v>282</v>
      </c>
      <c r="C24" s="751"/>
      <c r="D24" s="75">
        <v>0.76300000000000001</v>
      </c>
      <c r="E24" s="75">
        <v>0.76800000000000002</v>
      </c>
      <c r="F24" s="64">
        <v>0.85</v>
      </c>
      <c r="G24" s="495">
        <v>0.93600000000000005</v>
      </c>
    </row>
    <row r="25" spans="2:7" ht="26.25" customHeight="1" thickBot="1" x14ac:dyDescent="0.25">
      <c r="B25" s="695" t="s">
        <v>283</v>
      </c>
      <c r="C25" s="751"/>
      <c r="D25" s="64">
        <v>0.92</v>
      </c>
      <c r="E25" s="75">
        <v>0.89300000000000002</v>
      </c>
      <c r="F25" s="75">
        <v>0.97099999999999997</v>
      </c>
      <c r="G25" s="495">
        <v>0.95499999999999996</v>
      </c>
    </row>
    <row r="26" spans="2:7" ht="26.25" customHeight="1" thickBot="1" x14ac:dyDescent="0.25">
      <c r="B26" s="695" t="s">
        <v>582</v>
      </c>
      <c r="C26" s="751"/>
      <c r="D26" s="75">
        <v>0.83599999999999997</v>
      </c>
      <c r="E26" s="75">
        <v>0.88900000000000001</v>
      </c>
      <c r="F26" s="64">
        <v>0.88</v>
      </c>
      <c r="G26" s="495">
        <v>0.85699999999999998</v>
      </c>
    </row>
    <row r="27" spans="2:7" ht="26.25" customHeight="1" x14ac:dyDescent="0.2">
      <c r="B27" s="752" t="s">
        <v>285</v>
      </c>
      <c r="C27" s="753"/>
      <c r="D27" s="128">
        <v>0.95</v>
      </c>
      <c r="E27" s="76">
        <v>0.69199999999999995</v>
      </c>
      <c r="F27" s="76">
        <v>0.82899999999999996</v>
      </c>
      <c r="G27" s="497">
        <v>0.92200000000000004</v>
      </c>
    </row>
    <row r="28" spans="2:7" ht="15" customHeight="1" x14ac:dyDescent="0.2">
      <c r="B28" s="836">
        <f>D5</f>
        <v>0.7</v>
      </c>
      <c r="C28" s="836"/>
      <c r="D28" s="17">
        <f>COUNTIF(D14:D27,"&gt;=70%")</f>
        <v>10</v>
      </c>
      <c r="E28" s="17">
        <f t="shared" ref="E28" si="0">COUNTIF(E14:E27,"&gt;=70%")</f>
        <v>9</v>
      </c>
      <c r="F28" s="17">
        <v>14</v>
      </c>
      <c r="G28" s="17">
        <v>14</v>
      </c>
    </row>
    <row r="29" spans="2:7" ht="15" customHeight="1" x14ac:dyDescent="0.2">
      <c r="B29" s="689" t="s">
        <v>274</v>
      </c>
      <c r="C29" s="689"/>
      <c r="D29" s="17">
        <f>COUNT(D13:D27)</f>
        <v>11</v>
      </c>
      <c r="E29" s="17">
        <f>COUNT(E13:E27)</f>
        <v>12</v>
      </c>
      <c r="F29" s="17">
        <v>14</v>
      </c>
      <c r="G29" s="17">
        <v>14</v>
      </c>
    </row>
    <row r="30" spans="2:7" ht="22.5" customHeight="1" x14ac:dyDescent="0.2">
      <c r="B30" s="685" t="s">
        <v>231</v>
      </c>
      <c r="C30" s="735"/>
      <c r="D30" s="151">
        <v>0.7</v>
      </c>
      <c r="E30" s="151">
        <v>0.7</v>
      </c>
      <c r="F30" s="151">
        <v>0.7</v>
      </c>
      <c r="G30" s="151">
        <v>0.7</v>
      </c>
    </row>
    <row r="31" spans="2:7" ht="22.5" customHeight="1" x14ac:dyDescent="0.2">
      <c r="B31" s="685" t="s">
        <v>232</v>
      </c>
      <c r="C31" s="735"/>
      <c r="D31" s="523">
        <f>D28/D29</f>
        <v>0.90909090909090906</v>
      </c>
      <c r="E31" s="48">
        <f>E28/E29</f>
        <v>0.75</v>
      </c>
      <c r="F31" s="523">
        <f>F28/F29</f>
        <v>1</v>
      </c>
      <c r="G31" s="523">
        <f>G28/G29</f>
        <v>1</v>
      </c>
    </row>
    <row r="33" spans="2:12" ht="27" customHeight="1" x14ac:dyDescent="0.2">
      <c r="B33" s="594" t="s">
        <v>233</v>
      </c>
      <c r="C33" s="873"/>
      <c r="D33" s="873"/>
      <c r="E33" s="874"/>
      <c r="F33" s="8"/>
      <c r="J33" s="766"/>
      <c r="K33" s="766"/>
      <c r="L33" s="766"/>
    </row>
    <row r="34" spans="2:12" ht="19.5" customHeight="1" x14ac:dyDescent="0.2">
      <c r="B34" s="8"/>
      <c r="C34" s="8"/>
      <c r="D34" s="8"/>
      <c r="E34" s="8"/>
      <c r="F34" s="8"/>
      <c r="J34" s="9"/>
      <c r="K34" s="9"/>
      <c r="L34" s="9"/>
    </row>
    <row r="35" spans="2:12" ht="19.5" customHeight="1" x14ac:dyDescent="0.2">
      <c r="B35" s="8"/>
      <c r="C35" s="8"/>
      <c r="D35" s="8"/>
      <c r="E35" s="8"/>
      <c r="F35" s="8"/>
      <c r="J35" s="684"/>
      <c r="K35" s="684"/>
      <c r="L35" s="684"/>
    </row>
    <row r="36" spans="2:12" ht="19.5" customHeight="1" x14ac:dyDescent="0.2">
      <c r="B36" s="8"/>
      <c r="C36" s="8"/>
      <c r="D36" s="8"/>
      <c r="E36" s="8"/>
      <c r="F36" s="8"/>
      <c r="J36" s="583"/>
      <c r="K36" s="583"/>
      <c r="L36" s="684"/>
    </row>
    <row r="37" spans="2:12" ht="19.5" customHeight="1" x14ac:dyDescent="0.2">
      <c r="B37" s="8"/>
      <c r="C37" s="8"/>
      <c r="D37" s="8"/>
      <c r="E37" s="8"/>
      <c r="F37" s="8"/>
      <c r="J37" s="583"/>
      <c r="K37" s="583"/>
      <c r="L37" s="684"/>
    </row>
    <row r="38" spans="2:12" ht="19.5" customHeight="1" x14ac:dyDescent="0.2">
      <c r="B38" s="8"/>
      <c r="C38" s="8"/>
      <c r="D38" s="8"/>
      <c r="E38" s="8"/>
      <c r="F38" s="8"/>
      <c r="J38" s="583"/>
      <c r="K38" s="583"/>
      <c r="L38" s="684"/>
    </row>
    <row r="39" spans="2:12" ht="19.5" customHeight="1" x14ac:dyDescent="0.2">
      <c r="B39" s="8"/>
      <c r="C39" s="8"/>
      <c r="D39" s="8"/>
      <c r="E39" s="8"/>
      <c r="F39" s="8"/>
      <c r="J39" s="583"/>
      <c r="K39" s="583"/>
      <c r="L39" s="684"/>
    </row>
    <row r="40" spans="2:12" ht="19.5" customHeight="1" x14ac:dyDescent="0.2">
      <c r="B40" s="8"/>
      <c r="C40" s="8"/>
      <c r="D40" s="8"/>
      <c r="E40" s="8"/>
      <c r="F40" s="8"/>
      <c r="J40" s="583"/>
      <c r="K40" s="583"/>
      <c r="L40" s="684"/>
    </row>
    <row r="41" spans="2:12" ht="19.5" customHeight="1" x14ac:dyDescent="0.2">
      <c r="B41" s="8"/>
      <c r="C41" s="8"/>
      <c r="D41" s="8"/>
      <c r="E41" s="8"/>
      <c r="F41" s="8"/>
      <c r="J41" s="583"/>
      <c r="K41" s="583"/>
      <c r="L41" s="684"/>
    </row>
    <row r="42" spans="2:12" ht="19.5" customHeight="1" x14ac:dyDescent="0.2">
      <c r="B42" s="8"/>
      <c r="C42" s="8"/>
      <c r="D42" s="8"/>
      <c r="E42" s="8"/>
      <c r="F42" s="8"/>
      <c r="J42" s="583"/>
      <c r="K42" s="583"/>
      <c r="L42" s="684"/>
    </row>
    <row r="43" spans="2:12" ht="19.5" customHeight="1" x14ac:dyDescent="0.2">
      <c r="B43" s="8"/>
      <c r="C43" s="8"/>
      <c r="D43" s="8"/>
      <c r="E43" s="8"/>
      <c r="F43" s="8"/>
      <c r="J43" s="684"/>
      <c r="K43" s="684"/>
      <c r="L43" s="684"/>
    </row>
    <row r="44" spans="2:12" ht="19.5" customHeight="1" x14ac:dyDescent="0.2"/>
    <row r="45" spans="2:12" ht="19.5" customHeight="1" x14ac:dyDescent="0.2">
      <c r="G45" s="588" t="s">
        <v>172</v>
      </c>
      <c r="H45" s="589"/>
      <c r="I45" s="589"/>
    </row>
  </sheetData>
  <sheetProtection sheet="1" formatCells="0" formatColumns="0" formatRows="0" insertColumns="0" insertRows="0" insertHyperlinks="0" deleteColumns="0" deleteRows="0" pivotTables="0"/>
  <mergeCells count="36">
    <mergeCell ref="D7:I7"/>
    <mergeCell ref="B7:C7"/>
    <mergeCell ref="G45:I45"/>
    <mergeCell ref="B2:D2"/>
    <mergeCell ref="E2:I2"/>
    <mergeCell ref="B4:C4"/>
    <mergeCell ref="D4:E4"/>
    <mergeCell ref="G4:I4"/>
    <mergeCell ref="B5:C5"/>
    <mergeCell ref="D5:E5"/>
    <mergeCell ref="G5:I5"/>
    <mergeCell ref="B6:C6"/>
    <mergeCell ref="D6:E6"/>
    <mergeCell ref="B23:C23"/>
    <mergeCell ref="B9:I9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4:C24"/>
    <mergeCell ref="B25:C25"/>
    <mergeCell ref="B26:C26"/>
    <mergeCell ref="B27:C27"/>
    <mergeCell ref="B28:C28"/>
    <mergeCell ref="J35:L43"/>
    <mergeCell ref="B29:C29"/>
    <mergeCell ref="B30:C30"/>
    <mergeCell ref="B31:C31"/>
    <mergeCell ref="B33:E33"/>
    <mergeCell ref="J33:L33"/>
  </mergeCells>
  <conditionalFormatting sqref="D13:F27">
    <cfRule type="cellIs" dxfId="13" priority="1" operator="lessThan">
      <formula>0.7</formula>
    </cfRule>
    <cfRule type="cellIs" dxfId="12" priority="2" operator="between">
      <formula>0</formula>
      <formula>0.63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179E7-05FA-4DBA-A9A4-6DCD090475E9}">
  <sheetPr>
    <tabColor theme="9" tint="-0.499984740745262"/>
    <pageSetUpPr fitToPage="1"/>
  </sheetPr>
  <dimension ref="B2:M51"/>
  <sheetViews>
    <sheetView showGridLines="0" topLeftCell="A30" workbookViewId="0">
      <selection activeCell="J31" sqref="J31:M39"/>
    </sheetView>
  </sheetViews>
  <sheetFormatPr defaultColWidth="12.5703125" defaultRowHeight="15.75" customHeight="1" x14ac:dyDescent="0.2"/>
  <cols>
    <col min="1" max="1" width="3.42578125" customWidth="1"/>
    <col min="2" max="2" width="14.140625" customWidth="1"/>
    <col min="3" max="3" width="12.5703125" customWidth="1"/>
    <col min="4" max="4" width="17.28515625" bestFit="1" customWidth="1"/>
    <col min="5" max="9" width="12.5703125" customWidth="1"/>
    <col min="10" max="10" width="36.28515625" customWidth="1"/>
    <col min="11" max="11" width="8.85546875" customWidth="1"/>
    <col min="12" max="21" width="7.5703125" customWidth="1"/>
  </cols>
  <sheetData>
    <row r="2" spans="2:10" ht="55.5" customHeight="1" x14ac:dyDescent="0.2">
      <c r="B2" s="670"/>
      <c r="C2" s="671"/>
      <c r="D2" s="672"/>
      <c r="E2" s="673" t="s">
        <v>213</v>
      </c>
      <c r="F2" s="671"/>
      <c r="G2" s="671"/>
      <c r="H2" s="671"/>
      <c r="I2" s="671"/>
      <c r="J2" s="672"/>
    </row>
    <row r="3" spans="2:10" ht="22.5" customHeight="1" x14ac:dyDescent="0.2">
      <c r="B3" s="46"/>
      <c r="C3" s="46"/>
      <c r="D3" s="47"/>
      <c r="E3" s="47"/>
      <c r="F3" s="47"/>
      <c r="G3" s="47"/>
      <c r="H3" s="47"/>
      <c r="I3" s="47"/>
    </row>
    <row r="4" spans="2:10" ht="42" customHeight="1" x14ac:dyDescent="0.2">
      <c r="B4" s="594" t="s">
        <v>214</v>
      </c>
      <c r="C4" s="596"/>
      <c r="D4" s="674" t="str">
        <f>Índex!B68</f>
        <v xml:space="preserve"> PS5.03_Ind02. </v>
      </c>
      <c r="E4" s="672"/>
      <c r="F4" s="594" t="s">
        <v>215</v>
      </c>
      <c r="G4" s="596"/>
      <c r="H4" s="674" t="str">
        <f>Índex!C68</f>
        <v xml:space="preserve"> Nombre d’alumnes que realitzen Pràctiques curriculars desglossat per curs acadèmic i per titulació. </v>
      </c>
      <c r="I4" s="671"/>
      <c r="J4" s="672"/>
    </row>
    <row r="5" spans="2:10" ht="22.5" customHeight="1" x14ac:dyDescent="0.2">
      <c r="B5" s="594" t="s">
        <v>583</v>
      </c>
      <c r="C5" s="596"/>
      <c r="D5" s="674">
        <f>Índex!F68</f>
        <v>15</v>
      </c>
      <c r="E5" s="672"/>
      <c r="F5" s="732" t="s">
        <v>217</v>
      </c>
      <c r="G5" s="596"/>
      <c r="H5" s="775" t="s">
        <v>241</v>
      </c>
      <c r="I5" s="671"/>
      <c r="J5" s="636"/>
    </row>
    <row r="6" spans="2:10" ht="22.5" customHeight="1" x14ac:dyDescent="0.2">
      <c r="B6" s="594" t="s">
        <v>219</v>
      </c>
      <c r="C6" s="596"/>
      <c r="D6" s="674" t="s">
        <v>220</v>
      </c>
      <c r="E6" s="672"/>
      <c r="F6" s="594" t="s">
        <v>242</v>
      </c>
      <c r="G6" s="596"/>
      <c r="H6" s="12" t="str">
        <f>Índex!E68</f>
        <v xml:space="preserve">Gestor Acadèmic </v>
      </c>
      <c r="J6" s="19"/>
    </row>
    <row r="7" spans="2:10" ht="22.5" customHeight="1" x14ac:dyDescent="0.2">
      <c r="B7" s="594" t="s">
        <v>584</v>
      </c>
      <c r="C7" s="596"/>
      <c r="D7" s="674" t="str">
        <f>Índex!G68</f>
        <v>PS05.03. Inserció laboral</v>
      </c>
      <c r="E7" s="671"/>
      <c r="F7" s="671"/>
      <c r="G7" s="671"/>
      <c r="H7" s="671"/>
      <c r="I7" s="671"/>
      <c r="J7" s="672"/>
    </row>
    <row r="8" spans="2:10" ht="7.5" customHeight="1" x14ac:dyDescent="0.2"/>
    <row r="9" spans="2:10" ht="22.5" customHeight="1" x14ac:dyDescent="0.2">
      <c r="B9" s="594" t="s">
        <v>585</v>
      </c>
      <c r="C9" s="595"/>
      <c r="D9" s="595"/>
      <c r="E9" s="595"/>
      <c r="F9" s="595"/>
      <c r="G9" s="595"/>
      <c r="H9" s="595"/>
      <c r="I9" s="595"/>
      <c r="J9" s="596"/>
    </row>
    <row r="10" spans="2:10" ht="22.5" customHeight="1" x14ac:dyDescent="0.2">
      <c r="B10" s="20" t="s">
        <v>172</v>
      </c>
      <c r="C10" s="13"/>
      <c r="D10" s="13"/>
      <c r="E10" s="13"/>
      <c r="F10" s="13"/>
      <c r="G10" s="13"/>
      <c r="H10" s="13"/>
      <c r="I10" s="13"/>
      <c r="J10" s="13"/>
    </row>
    <row r="11" spans="2:10" ht="22.5" customHeight="1" x14ac:dyDescent="0.2">
      <c r="B11" s="103" t="s">
        <v>586</v>
      </c>
      <c r="C11" s="103" t="s">
        <v>224</v>
      </c>
      <c r="D11" s="103" t="s">
        <v>225</v>
      </c>
      <c r="E11" s="103" t="s">
        <v>226</v>
      </c>
      <c r="F11" s="103" t="s">
        <v>227</v>
      </c>
      <c r="G11" s="103" t="s">
        <v>228</v>
      </c>
      <c r="H11" s="103" t="s">
        <v>229</v>
      </c>
      <c r="I11" s="13"/>
      <c r="J11" s="13"/>
    </row>
    <row r="12" spans="2:10" ht="22.5" customHeight="1" thickBot="1" x14ac:dyDescent="0.25">
      <c r="B12" s="95" t="s">
        <v>244</v>
      </c>
      <c r="C12" s="95">
        <v>45</v>
      </c>
      <c r="D12" s="95">
        <v>42</v>
      </c>
      <c r="E12" s="109">
        <v>31</v>
      </c>
      <c r="F12" s="95">
        <v>48</v>
      </c>
      <c r="G12" s="92">
        <v>44</v>
      </c>
      <c r="H12" s="500">
        <v>50</v>
      </c>
      <c r="I12" s="13"/>
      <c r="J12" s="13"/>
    </row>
    <row r="13" spans="2:10" ht="22.5" customHeight="1" thickBot="1" x14ac:dyDescent="0.25">
      <c r="B13" s="95" t="s">
        <v>246</v>
      </c>
      <c r="C13" s="95">
        <v>7</v>
      </c>
      <c r="D13" s="95">
        <v>11</v>
      </c>
      <c r="E13" s="109">
        <v>14</v>
      </c>
      <c r="F13" s="95">
        <v>18</v>
      </c>
      <c r="G13" s="92">
        <v>15</v>
      </c>
      <c r="H13" s="500">
        <v>27</v>
      </c>
      <c r="I13" s="13"/>
      <c r="J13" s="13"/>
    </row>
    <row r="14" spans="2:10" ht="22.5" customHeight="1" thickBot="1" x14ac:dyDescent="0.25">
      <c r="B14" s="95" t="s">
        <v>247</v>
      </c>
      <c r="C14" s="95">
        <v>38</v>
      </c>
      <c r="D14" s="95">
        <v>43</v>
      </c>
      <c r="E14" s="109">
        <v>28</v>
      </c>
      <c r="F14" s="95">
        <v>40</v>
      </c>
      <c r="G14" s="92">
        <v>39</v>
      </c>
      <c r="H14" s="500">
        <v>46</v>
      </c>
      <c r="I14" s="13"/>
      <c r="J14" s="13"/>
    </row>
    <row r="15" spans="2:10" ht="22.5" customHeight="1" thickBot="1" x14ac:dyDescent="0.25">
      <c r="B15" s="95" t="s">
        <v>250</v>
      </c>
      <c r="C15" s="95">
        <v>45</v>
      </c>
      <c r="D15" s="95">
        <v>33</v>
      </c>
      <c r="E15" s="109">
        <v>29</v>
      </c>
      <c r="F15" s="95">
        <v>52</v>
      </c>
      <c r="G15" s="92">
        <v>40</v>
      </c>
      <c r="H15" s="500">
        <v>38</v>
      </c>
      <c r="I15" s="13"/>
      <c r="J15" s="13"/>
    </row>
    <row r="16" spans="2:10" ht="57.75" thickBot="1" x14ac:dyDescent="0.35">
      <c r="B16" s="279" t="s">
        <v>251</v>
      </c>
      <c r="C16" s="95" t="s">
        <v>237</v>
      </c>
      <c r="D16" s="95" t="s">
        <v>237</v>
      </c>
      <c r="E16" s="109" t="s">
        <v>237</v>
      </c>
      <c r="F16" s="95" t="s">
        <v>237</v>
      </c>
      <c r="G16" s="92">
        <v>15</v>
      </c>
      <c r="H16" s="500">
        <v>28</v>
      </c>
      <c r="I16" s="13"/>
      <c r="J16" s="13"/>
    </row>
    <row r="17" spans="2:13" ht="22.5" customHeight="1" thickBot="1" x14ac:dyDescent="0.25">
      <c r="B17" s="95" t="s">
        <v>252</v>
      </c>
      <c r="C17" s="95">
        <v>24</v>
      </c>
      <c r="D17" s="95">
        <v>32</v>
      </c>
      <c r="E17" s="109">
        <v>26</v>
      </c>
      <c r="F17" s="95">
        <v>33</v>
      </c>
      <c r="G17" s="92">
        <v>50</v>
      </c>
      <c r="H17" s="500">
        <v>38</v>
      </c>
      <c r="I17" s="13"/>
      <c r="J17" s="13"/>
    </row>
    <row r="18" spans="2:13" ht="22.5" customHeight="1" thickBot="1" x14ac:dyDescent="0.25">
      <c r="B18" s="95" t="s">
        <v>253</v>
      </c>
      <c r="C18" s="95">
        <v>40</v>
      </c>
      <c r="D18" s="95">
        <v>46</v>
      </c>
      <c r="E18" s="109">
        <v>18</v>
      </c>
      <c r="F18" s="95">
        <v>19</v>
      </c>
      <c r="G18" s="92">
        <v>19</v>
      </c>
      <c r="H18" s="500">
        <v>25</v>
      </c>
      <c r="I18" s="13"/>
      <c r="J18" s="13"/>
    </row>
    <row r="19" spans="2:13" ht="22.5" customHeight="1" thickBot="1" x14ac:dyDescent="0.25">
      <c r="B19" s="95" t="s">
        <v>254</v>
      </c>
      <c r="C19" s="95">
        <v>59</v>
      </c>
      <c r="D19" s="95">
        <v>42</v>
      </c>
      <c r="E19" s="109">
        <v>43</v>
      </c>
      <c r="F19" s="95">
        <v>39</v>
      </c>
      <c r="G19" s="92">
        <v>48</v>
      </c>
      <c r="H19" s="500">
        <v>68</v>
      </c>
      <c r="I19" s="13"/>
      <c r="J19" s="13"/>
    </row>
    <row r="20" spans="2:13" ht="22.5" customHeight="1" thickBot="1" x14ac:dyDescent="0.25">
      <c r="B20" s="95" t="s">
        <v>270</v>
      </c>
      <c r="C20" s="95">
        <v>28</v>
      </c>
      <c r="D20" s="95">
        <v>23</v>
      </c>
      <c r="E20" s="109">
        <v>34</v>
      </c>
      <c r="F20" s="95">
        <v>38</v>
      </c>
      <c r="G20" s="92">
        <v>24</v>
      </c>
      <c r="H20" s="500">
        <v>35</v>
      </c>
      <c r="I20" s="13"/>
      <c r="J20" s="13"/>
    </row>
    <row r="21" spans="2:13" ht="22.5" customHeight="1" thickBot="1" x14ac:dyDescent="0.25">
      <c r="B21" s="95" t="s">
        <v>285</v>
      </c>
      <c r="C21" s="95">
        <v>43</v>
      </c>
      <c r="D21" s="95">
        <v>42</v>
      </c>
      <c r="E21" s="109">
        <v>47</v>
      </c>
      <c r="F21" s="95">
        <v>38</v>
      </c>
      <c r="G21" s="92">
        <v>21</v>
      </c>
      <c r="H21" s="500">
        <v>19</v>
      </c>
      <c r="I21" s="13"/>
      <c r="J21" s="13"/>
    </row>
    <row r="22" spans="2:13" ht="22.5" customHeight="1" thickBot="1" x14ac:dyDescent="0.25">
      <c r="B22" s="95" t="s">
        <v>587</v>
      </c>
      <c r="C22" s="95">
        <v>6</v>
      </c>
      <c r="D22" s="95">
        <v>4</v>
      </c>
      <c r="E22" s="109">
        <v>4</v>
      </c>
      <c r="F22" s="95">
        <v>8</v>
      </c>
      <c r="G22" s="92">
        <v>15</v>
      </c>
      <c r="H22" s="218">
        <v>8</v>
      </c>
      <c r="I22" s="13"/>
      <c r="J22" s="13"/>
    </row>
    <row r="23" spans="2:13" ht="22.5" customHeight="1" thickBot="1" x14ac:dyDescent="0.25">
      <c r="B23" s="95" t="s">
        <v>281</v>
      </c>
      <c r="C23" s="501">
        <v>11</v>
      </c>
      <c r="D23" s="95">
        <v>5</v>
      </c>
      <c r="E23" s="109">
        <v>7</v>
      </c>
      <c r="F23" s="95">
        <v>9</v>
      </c>
      <c r="G23" s="502">
        <v>10</v>
      </c>
      <c r="H23" s="218">
        <v>6</v>
      </c>
      <c r="I23" s="13"/>
      <c r="J23" s="13"/>
    </row>
    <row r="24" spans="2:13" ht="22.5" customHeight="1" x14ac:dyDescent="0.2">
      <c r="B24" s="278" t="s">
        <v>588</v>
      </c>
      <c r="C24" s="225">
        <f>COUNTIF(C12:C23,"&gt;=10")</f>
        <v>9</v>
      </c>
      <c r="D24" s="225">
        <f t="shared" ref="D24:G24" si="0">COUNTIF(D12:D23,"&gt;=10")</f>
        <v>9</v>
      </c>
      <c r="E24" s="225">
        <f t="shared" si="0"/>
        <v>9</v>
      </c>
      <c r="F24" s="225">
        <f t="shared" si="0"/>
        <v>9</v>
      </c>
      <c r="G24" s="225">
        <f t="shared" si="0"/>
        <v>12</v>
      </c>
      <c r="H24" s="225">
        <f t="shared" ref="H24" si="1">COUNTIF(H12:H23,"&gt;=10")</f>
        <v>10</v>
      </c>
      <c r="I24" s="13"/>
      <c r="J24" s="13"/>
    </row>
    <row r="25" spans="2:13" ht="22.5" customHeight="1" x14ac:dyDescent="0.2">
      <c r="B25" s="278" t="s">
        <v>589</v>
      </c>
      <c r="C25" s="225">
        <f>COUNT(C12:C23)</f>
        <v>11</v>
      </c>
      <c r="D25" s="225">
        <f t="shared" ref="D25:G25" si="2">COUNT(D12:D23)</f>
        <v>11</v>
      </c>
      <c r="E25" s="225">
        <f t="shared" si="2"/>
        <v>11</v>
      </c>
      <c r="F25" s="225">
        <f t="shared" si="2"/>
        <v>11</v>
      </c>
      <c r="G25" s="225">
        <f t="shared" si="2"/>
        <v>12</v>
      </c>
      <c r="H25" s="225">
        <f t="shared" ref="H25" si="3">COUNT(H12:H23)</f>
        <v>12</v>
      </c>
      <c r="I25" s="13"/>
      <c r="J25" s="13"/>
    </row>
    <row r="26" spans="2:13" ht="22.5" customHeight="1" x14ac:dyDescent="0.2">
      <c r="B26" s="278" t="s">
        <v>329</v>
      </c>
      <c r="C26" s="225">
        <f>D5</f>
        <v>15</v>
      </c>
      <c r="D26" s="225">
        <f>D5</f>
        <v>15</v>
      </c>
      <c r="E26" s="225">
        <f>D5</f>
        <v>15</v>
      </c>
      <c r="F26" s="225">
        <f>D5</f>
        <v>15</v>
      </c>
      <c r="G26" s="225">
        <f>D5</f>
        <v>15</v>
      </c>
      <c r="H26" s="225">
        <f>D5</f>
        <v>15</v>
      </c>
      <c r="I26" s="13"/>
      <c r="J26" s="13"/>
    </row>
    <row r="27" spans="2:13" ht="22.5" customHeight="1" x14ac:dyDescent="0.2">
      <c r="B27" s="278" t="s">
        <v>240</v>
      </c>
      <c r="C27" s="192">
        <f>C24/C25</f>
        <v>0.81818181818181823</v>
      </c>
      <c r="D27" s="192">
        <f t="shared" ref="D27:G27" si="4">D24/D25</f>
        <v>0.81818181818181823</v>
      </c>
      <c r="E27" s="192">
        <f t="shared" si="4"/>
        <v>0.81818181818181823</v>
      </c>
      <c r="F27" s="192">
        <f t="shared" si="4"/>
        <v>0.81818181818181823</v>
      </c>
      <c r="G27" s="216">
        <f t="shared" si="4"/>
        <v>1</v>
      </c>
      <c r="H27" s="192">
        <f t="shared" ref="H27" si="5">H24/H25</f>
        <v>0.83333333333333337</v>
      </c>
      <c r="I27" s="13"/>
      <c r="J27" s="13"/>
    </row>
    <row r="28" spans="2:13" ht="22.5" customHeight="1" x14ac:dyDescent="0.2">
      <c r="B28" s="20"/>
      <c r="C28" s="13"/>
      <c r="D28" s="13"/>
      <c r="E28" s="13"/>
      <c r="F28" s="13"/>
      <c r="G28" s="13"/>
      <c r="H28" s="13"/>
      <c r="I28" s="13"/>
      <c r="J28" s="13"/>
    </row>
    <row r="29" spans="2:13" ht="22.5" customHeight="1" x14ac:dyDescent="0.2">
      <c r="B29" s="594" t="s">
        <v>233</v>
      </c>
      <c r="C29" s="873"/>
      <c r="D29" s="873"/>
      <c r="E29" s="874"/>
      <c r="F29" s="13"/>
      <c r="G29" s="13"/>
      <c r="H29" s="13"/>
      <c r="I29" s="13"/>
      <c r="J29" s="70" t="s">
        <v>234</v>
      </c>
      <c r="K29" s="147"/>
      <c r="L29" s="147"/>
      <c r="M29" s="146"/>
    </row>
    <row r="30" spans="2:13" ht="22.5" customHeight="1" x14ac:dyDescent="0.2">
      <c r="J30" s="9"/>
      <c r="K30" s="9"/>
      <c r="L30" s="9"/>
      <c r="M30" s="9"/>
    </row>
    <row r="31" spans="2:13" ht="15" customHeight="1" x14ac:dyDescent="0.2">
      <c r="B31" s="21"/>
      <c r="C31" s="21"/>
      <c r="D31" s="22"/>
      <c r="E31" s="22"/>
      <c r="F31" s="22"/>
      <c r="G31" s="18"/>
      <c r="I31" s="18"/>
      <c r="J31" s="579" t="s">
        <v>590</v>
      </c>
      <c r="K31" s="580"/>
      <c r="L31" s="580"/>
      <c r="M31" s="581"/>
    </row>
    <row r="32" spans="2:13" ht="15" customHeight="1" x14ac:dyDescent="0.2">
      <c r="B32" s="21"/>
      <c r="C32" s="21"/>
      <c r="D32" s="22"/>
      <c r="E32" s="22"/>
      <c r="F32" s="22"/>
      <c r="G32" s="18"/>
      <c r="I32" s="18"/>
      <c r="J32" s="582"/>
      <c r="K32" s="583"/>
      <c r="L32" s="583"/>
      <c r="M32" s="584"/>
    </row>
    <row r="33" spans="2:13" ht="15" customHeight="1" x14ac:dyDescent="0.2">
      <c r="B33" s="21"/>
      <c r="C33" s="21"/>
      <c r="D33" s="22"/>
      <c r="E33" s="22"/>
      <c r="F33" s="22"/>
      <c r="G33" s="18"/>
      <c r="I33" s="18"/>
      <c r="J33" s="582"/>
      <c r="K33" s="583"/>
      <c r="L33" s="583"/>
      <c r="M33" s="584"/>
    </row>
    <row r="34" spans="2:13" ht="15" customHeight="1" x14ac:dyDescent="0.2">
      <c r="B34" s="21"/>
      <c r="C34" s="21"/>
      <c r="D34" s="22"/>
      <c r="E34" s="22"/>
      <c r="F34" s="22"/>
      <c r="G34" s="18"/>
      <c r="I34" s="18"/>
      <c r="J34" s="582"/>
      <c r="K34" s="583"/>
      <c r="L34" s="583"/>
      <c r="M34" s="584"/>
    </row>
    <row r="35" spans="2:13" ht="15" customHeight="1" x14ac:dyDescent="0.2">
      <c r="B35" s="21"/>
      <c r="C35" s="21"/>
      <c r="D35" s="22"/>
      <c r="E35" s="22"/>
      <c r="F35" s="22"/>
      <c r="G35" s="18"/>
      <c r="I35" s="18"/>
      <c r="J35" s="582"/>
      <c r="K35" s="583"/>
      <c r="L35" s="583"/>
      <c r="M35" s="584"/>
    </row>
    <row r="36" spans="2:13" ht="15" customHeight="1" x14ac:dyDescent="0.2">
      <c r="B36" s="21"/>
      <c r="C36" s="21"/>
      <c r="D36" s="22"/>
      <c r="E36" s="22"/>
      <c r="F36" s="22"/>
      <c r="G36" s="18"/>
      <c r="I36" s="18"/>
      <c r="J36" s="582"/>
      <c r="K36" s="583"/>
      <c r="L36" s="583"/>
      <c r="M36" s="584"/>
    </row>
    <row r="37" spans="2:13" ht="15" customHeight="1" x14ac:dyDescent="0.2">
      <c r="B37" s="21"/>
      <c r="C37" s="21"/>
      <c r="D37" s="22"/>
      <c r="E37" s="22"/>
      <c r="F37" s="22"/>
      <c r="G37" s="18"/>
      <c r="I37" s="18"/>
      <c r="J37" s="582"/>
      <c r="K37" s="583"/>
      <c r="L37" s="583"/>
      <c r="M37" s="584"/>
    </row>
    <row r="38" spans="2:13" ht="22.5" customHeight="1" x14ac:dyDescent="0.25">
      <c r="B38" s="7"/>
      <c r="C38" s="7"/>
      <c r="D38" s="6"/>
      <c r="E38" s="6"/>
      <c r="F38" s="6"/>
      <c r="G38" s="6"/>
      <c r="H38" s="6"/>
      <c r="I38" s="6"/>
      <c r="J38" s="582"/>
      <c r="K38" s="583"/>
      <c r="L38" s="583"/>
      <c r="M38" s="584"/>
    </row>
    <row r="39" spans="2:13" ht="22.5" customHeight="1" x14ac:dyDescent="0.2">
      <c r="B39" s="878" t="s">
        <v>172</v>
      </c>
      <c r="C39" s="766"/>
      <c r="D39" s="766"/>
      <c r="E39" s="766"/>
      <c r="F39" s="8"/>
      <c r="J39" s="585"/>
      <c r="K39" s="586"/>
      <c r="L39" s="586"/>
      <c r="M39" s="587"/>
    </row>
    <row r="51" spans="8:10" ht="19.5" customHeight="1" x14ac:dyDescent="0.2">
      <c r="H51" s="588" t="s">
        <v>172</v>
      </c>
      <c r="I51" s="589"/>
      <c r="J51" s="589"/>
    </row>
  </sheetData>
  <sheetProtection sheet="1" formatCells="0" formatColumns="0" formatRows="0" insertColumns="0" insertRows="0" insertHyperlinks="0" deleteColumns="0" deleteRows="0" pivotTables="0"/>
  <mergeCells count="20">
    <mergeCell ref="B2:D2"/>
    <mergeCell ref="E2:J2"/>
    <mergeCell ref="B4:C4"/>
    <mergeCell ref="D4:E4"/>
    <mergeCell ref="F4:G4"/>
    <mergeCell ref="H4:J4"/>
    <mergeCell ref="B7:C7"/>
    <mergeCell ref="D7:J7"/>
    <mergeCell ref="B5:C5"/>
    <mergeCell ref="D5:E5"/>
    <mergeCell ref="F5:G5"/>
    <mergeCell ref="H5:J5"/>
    <mergeCell ref="B6:C6"/>
    <mergeCell ref="D6:E6"/>
    <mergeCell ref="F6:G6"/>
    <mergeCell ref="B9:J9"/>
    <mergeCell ref="B39:E39"/>
    <mergeCell ref="J31:M39"/>
    <mergeCell ref="H51:J51"/>
    <mergeCell ref="B29:E29"/>
  </mergeCells>
  <conditionalFormatting sqref="C12:G23">
    <cfRule type="cellIs" dxfId="11" priority="1" operator="lessThan">
      <formula>10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29171-99ED-48AB-8051-CF3B27A4D5F9}">
  <sheetPr>
    <tabColor theme="9" tint="-0.499984740745262"/>
    <pageSetUpPr fitToPage="1"/>
  </sheetPr>
  <dimension ref="B2:N48"/>
  <sheetViews>
    <sheetView showGridLines="0" topLeftCell="A25" workbookViewId="0">
      <selection activeCell="I28" sqref="I28"/>
    </sheetView>
  </sheetViews>
  <sheetFormatPr defaultColWidth="12.5703125" defaultRowHeight="15.75" customHeight="1" x14ac:dyDescent="0.2"/>
  <cols>
    <col min="1" max="1" width="3.42578125" customWidth="1"/>
    <col min="2" max="2" width="14.140625" customWidth="1"/>
    <col min="3" max="3" width="12.5703125" customWidth="1"/>
    <col min="4" max="4" width="17.28515625" bestFit="1" customWidth="1"/>
    <col min="5" max="9" width="12.5703125" customWidth="1"/>
    <col min="10" max="10" width="36.28515625" customWidth="1"/>
    <col min="11" max="20" width="7.5703125" customWidth="1"/>
  </cols>
  <sheetData>
    <row r="2" spans="2:10" ht="55.5" customHeight="1" x14ac:dyDescent="0.2">
      <c r="B2" s="670"/>
      <c r="C2" s="671"/>
      <c r="D2" s="672"/>
      <c r="E2" s="673" t="s">
        <v>213</v>
      </c>
      <c r="F2" s="671"/>
      <c r="G2" s="671"/>
      <c r="H2" s="671"/>
      <c r="I2" s="671"/>
      <c r="J2" s="672"/>
    </row>
    <row r="3" spans="2:10" ht="22.5" customHeight="1" x14ac:dyDescent="0.2">
      <c r="B3" s="46"/>
      <c r="C3" s="46"/>
      <c r="D3" s="47"/>
      <c r="E3" s="47"/>
      <c r="F3" s="47"/>
      <c r="G3" s="47"/>
      <c r="H3" s="47"/>
      <c r="I3" s="47"/>
    </row>
    <row r="4" spans="2:10" ht="42" customHeight="1" x14ac:dyDescent="0.2">
      <c r="B4" s="594" t="s">
        <v>214</v>
      </c>
      <c r="C4" s="596"/>
      <c r="D4" s="674" t="str">
        <f>Índex!B69</f>
        <v xml:space="preserve"> PS5.03_Ind03. </v>
      </c>
      <c r="E4" s="672"/>
      <c r="F4" s="594" t="s">
        <v>215</v>
      </c>
      <c r="G4" s="596"/>
      <c r="H4" s="674" t="str">
        <f>Índex!C69</f>
        <v>Valoració mitjana a l’afirmació “La formació rebuda m’ha permès millorar les capacitats per a l’activitat professional”.</v>
      </c>
      <c r="I4" s="671"/>
      <c r="J4" s="672"/>
    </row>
    <row r="5" spans="2:10" ht="22.5" customHeight="1" x14ac:dyDescent="0.2">
      <c r="B5" s="594" t="s">
        <v>323</v>
      </c>
      <c r="C5" s="596"/>
      <c r="D5" s="674">
        <f>Índex!F69</f>
        <v>3.5</v>
      </c>
      <c r="E5" s="672"/>
      <c r="F5" s="732" t="s">
        <v>217</v>
      </c>
      <c r="G5" s="596"/>
      <c r="H5" s="775" t="s">
        <v>241</v>
      </c>
      <c r="I5" s="671"/>
      <c r="J5" s="636"/>
    </row>
    <row r="6" spans="2:10" ht="22.5" customHeight="1" x14ac:dyDescent="0.2">
      <c r="B6" s="594" t="s">
        <v>219</v>
      </c>
      <c r="C6" s="596"/>
      <c r="D6" s="674" t="s">
        <v>220</v>
      </c>
      <c r="E6" s="672"/>
      <c r="F6" s="594" t="s">
        <v>242</v>
      </c>
      <c r="G6" s="596"/>
      <c r="H6" s="12" t="str">
        <f>Índex!E69</f>
        <v>Gestora de Qualitat</v>
      </c>
      <c r="J6" s="19"/>
    </row>
    <row r="7" spans="2:10" ht="22.5" customHeight="1" x14ac:dyDescent="0.2">
      <c r="B7" s="594" t="s">
        <v>222</v>
      </c>
      <c r="C7" s="596"/>
      <c r="D7" s="674" t="str">
        <f>Índex!G69</f>
        <v>PS5.04. Satisfacció dels Grups d’Interès</v>
      </c>
      <c r="E7" s="671"/>
      <c r="F7" s="671"/>
      <c r="G7" s="671"/>
      <c r="H7" s="671"/>
      <c r="I7" s="671"/>
      <c r="J7" s="642"/>
    </row>
    <row r="8" spans="2:10" ht="7.5" customHeight="1" x14ac:dyDescent="0.2"/>
    <row r="9" spans="2:10" ht="22.5" customHeight="1" x14ac:dyDescent="0.2">
      <c r="B9" s="594" t="s">
        <v>223</v>
      </c>
      <c r="C9" s="595"/>
      <c r="D9" s="595"/>
      <c r="E9" s="595"/>
      <c r="F9" s="595"/>
      <c r="G9" s="595"/>
      <c r="H9" s="595"/>
      <c r="I9" s="595"/>
      <c r="J9" s="596"/>
    </row>
    <row r="10" spans="2:10" ht="22.5" customHeight="1" x14ac:dyDescent="0.2">
      <c r="B10" s="33" t="s">
        <v>172</v>
      </c>
      <c r="C10" s="13"/>
      <c r="D10" s="13"/>
      <c r="E10" s="13"/>
      <c r="F10" s="13"/>
      <c r="G10" s="13"/>
      <c r="H10" s="13"/>
      <c r="I10" s="13"/>
      <c r="J10" s="13"/>
    </row>
    <row r="11" spans="2:10" ht="22.5" customHeight="1" x14ac:dyDescent="0.2"/>
    <row r="12" spans="2:10" ht="22.5" customHeight="1" thickBot="1" x14ac:dyDescent="0.25">
      <c r="B12" s="16"/>
      <c r="C12" s="16"/>
      <c r="D12" s="110" t="s">
        <v>224</v>
      </c>
      <c r="E12" s="110" t="s">
        <v>225</v>
      </c>
      <c r="F12" s="110" t="s">
        <v>226</v>
      </c>
      <c r="G12" s="110" t="s">
        <v>227</v>
      </c>
      <c r="H12" s="110" t="s">
        <v>228</v>
      </c>
      <c r="I12" s="110" t="s">
        <v>229</v>
      </c>
    </row>
    <row r="13" spans="2:10" ht="41.25" customHeight="1" thickBot="1" x14ac:dyDescent="0.25">
      <c r="B13" s="695" t="s">
        <v>244</v>
      </c>
      <c r="C13" s="695"/>
      <c r="D13" s="95">
        <v>3.73</v>
      </c>
      <c r="E13" s="95" t="s">
        <v>317</v>
      </c>
      <c r="F13" s="109">
        <v>3.5</v>
      </c>
      <c r="G13" s="95">
        <v>4.4000000000000004</v>
      </c>
      <c r="H13" s="229">
        <v>3.12</v>
      </c>
      <c r="I13" s="503" t="s">
        <v>260</v>
      </c>
      <c r="J13" s="126"/>
    </row>
    <row r="14" spans="2:10" ht="41.25" customHeight="1" thickBot="1" x14ac:dyDescent="0.25">
      <c r="B14" s="695" t="s">
        <v>343</v>
      </c>
      <c r="C14" s="695"/>
      <c r="D14" s="95" t="s">
        <v>317</v>
      </c>
      <c r="E14" s="95" t="s">
        <v>317</v>
      </c>
      <c r="F14" s="109">
        <v>3.4</v>
      </c>
      <c r="G14" s="95">
        <v>4</v>
      </c>
      <c r="H14" s="92">
        <v>3.86</v>
      </c>
      <c r="I14" s="500" t="s">
        <v>260</v>
      </c>
      <c r="J14" s="126"/>
    </row>
    <row r="15" spans="2:10" ht="41.25" customHeight="1" thickBot="1" x14ac:dyDescent="0.25">
      <c r="B15" s="695" t="s">
        <v>293</v>
      </c>
      <c r="C15" s="695"/>
      <c r="D15" s="95" t="s">
        <v>317</v>
      </c>
      <c r="E15" s="95">
        <v>4</v>
      </c>
      <c r="F15" s="109">
        <v>4.5</v>
      </c>
      <c r="G15" s="95">
        <v>2.5</v>
      </c>
      <c r="H15" s="31">
        <v>4.67</v>
      </c>
      <c r="I15" s="171" t="s">
        <v>260</v>
      </c>
      <c r="J15" s="126"/>
    </row>
    <row r="16" spans="2:10" ht="41.25" customHeight="1" thickBot="1" x14ac:dyDescent="0.25">
      <c r="B16" s="695" t="s">
        <v>247</v>
      </c>
      <c r="C16" s="695"/>
      <c r="D16" s="95">
        <v>3.33</v>
      </c>
      <c r="E16" s="95">
        <v>3.52</v>
      </c>
      <c r="F16" s="109">
        <v>3.46</v>
      </c>
      <c r="G16" s="95">
        <v>2.5</v>
      </c>
      <c r="H16" s="31">
        <v>3.71</v>
      </c>
      <c r="I16" s="171" t="s">
        <v>260</v>
      </c>
      <c r="J16" s="126"/>
    </row>
    <row r="17" spans="2:9" ht="41.25" customHeight="1" thickBot="1" x14ac:dyDescent="0.25">
      <c r="B17" s="695" t="s">
        <v>336</v>
      </c>
      <c r="C17" s="695"/>
      <c r="D17" s="95" t="s">
        <v>317</v>
      </c>
      <c r="E17" s="95" t="s">
        <v>317</v>
      </c>
      <c r="F17" s="109" t="s">
        <v>317</v>
      </c>
      <c r="G17" s="95">
        <v>3</v>
      </c>
      <c r="H17" s="31">
        <v>4</v>
      </c>
      <c r="I17" s="171" t="s">
        <v>260</v>
      </c>
    </row>
    <row r="18" spans="2:9" ht="41.25" customHeight="1" thickBot="1" x14ac:dyDescent="0.25">
      <c r="B18" s="695" t="s">
        <v>337</v>
      </c>
      <c r="C18" s="695"/>
      <c r="D18" s="95">
        <v>3.25</v>
      </c>
      <c r="E18" s="95">
        <v>4.1399999999999997</v>
      </c>
      <c r="F18" s="109" t="s">
        <v>317</v>
      </c>
      <c r="G18" s="95">
        <v>3.25</v>
      </c>
      <c r="H18" s="92">
        <v>4.13</v>
      </c>
      <c r="I18" s="500" t="s">
        <v>260</v>
      </c>
    </row>
    <row r="19" spans="2:9" ht="41.25" customHeight="1" thickBot="1" x14ac:dyDescent="0.25">
      <c r="B19" s="695" t="s">
        <v>250</v>
      </c>
      <c r="C19" s="695"/>
      <c r="D19" s="95">
        <v>3.6</v>
      </c>
      <c r="E19" s="95" t="s">
        <v>317</v>
      </c>
      <c r="F19" s="109" t="s">
        <v>317</v>
      </c>
      <c r="G19" s="95" t="s">
        <v>317</v>
      </c>
      <c r="H19" s="92">
        <v>3.86</v>
      </c>
      <c r="I19" s="500" t="s">
        <v>260</v>
      </c>
    </row>
    <row r="20" spans="2:9" ht="41.25" customHeight="1" thickBot="1" x14ac:dyDescent="0.35">
      <c r="B20" s="879" t="s">
        <v>251</v>
      </c>
      <c r="C20" s="879"/>
      <c r="D20" s="95" t="s">
        <v>237</v>
      </c>
      <c r="E20" s="95" t="s">
        <v>237</v>
      </c>
      <c r="F20" s="109" t="s">
        <v>237</v>
      </c>
      <c r="G20" s="95" t="s">
        <v>237</v>
      </c>
      <c r="H20" s="92">
        <v>4.8600000000000003</v>
      </c>
      <c r="I20" s="500" t="s">
        <v>260</v>
      </c>
    </row>
    <row r="21" spans="2:9" ht="41.25" customHeight="1" thickBot="1" x14ac:dyDescent="0.25">
      <c r="B21" s="695" t="s">
        <v>252</v>
      </c>
      <c r="C21" s="695"/>
      <c r="D21" s="95">
        <v>4.0999999999999996</v>
      </c>
      <c r="E21" s="95">
        <v>3.57</v>
      </c>
      <c r="F21" s="109">
        <v>4</v>
      </c>
      <c r="G21" s="95">
        <v>1.6</v>
      </c>
      <c r="H21" s="31">
        <v>3.87</v>
      </c>
      <c r="I21" s="171" t="s">
        <v>260</v>
      </c>
    </row>
    <row r="22" spans="2:9" ht="41.25" customHeight="1" thickBot="1" x14ac:dyDescent="0.25">
      <c r="B22" s="695" t="s">
        <v>253</v>
      </c>
      <c r="C22" s="695"/>
      <c r="D22" s="95">
        <v>4.09</v>
      </c>
      <c r="E22" s="95">
        <v>4.4400000000000004</v>
      </c>
      <c r="F22" s="109">
        <v>4.4000000000000004</v>
      </c>
      <c r="G22" s="95">
        <v>2.5</v>
      </c>
      <c r="H22" s="31">
        <v>3.82</v>
      </c>
      <c r="I22" s="171" t="s">
        <v>260</v>
      </c>
    </row>
    <row r="23" spans="2:9" ht="41.25" customHeight="1" thickBot="1" x14ac:dyDescent="0.25">
      <c r="B23" s="695" t="s">
        <v>254</v>
      </c>
      <c r="C23" s="695"/>
      <c r="D23" s="95">
        <v>3.71</v>
      </c>
      <c r="E23" s="95">
        <v>3.7</v>
      </c>
      <c r="F23" s="109">
        <v>3.08</v>
      </c>
      <c r="G23" s="95">
        <v>3.75</v>
      </c>
      <c r="H23" s="92">
        <v>3.89</v>
      </c>
      <c r="I23" s="500" t="s">
        <v>260</v>
      </c>
    </row>
    <row r="24" spans="2:9" ht="41.25" customHeight="1" thickBot="1" x14ac:dyDescent="0.25">
      <c r="B24" s="695" t="s">
        <v>267</v>
      </c>
      <c r="C24" s="695"/>
      <c r="D24" s="95">
        <v>3</v>
      </c>
      <c r="E24" s="95" t="s">
        <v>317</v>
      </c>
      <c r="F24" s="109">
        <v>3.67</v>
      </c>
      <c r="G24" s="95" t="s">
        <v>317</v>
      </c>
      <c r="H24" s="92">
        <v>3.89</v>
      </c>
      <c r="I24" s="500" t="s">
        <v>260</v>
      </c>
    </row>
    <row r="25" spans="2:9" ht="41.25" customHeight="1" thickBot="1" x14ac:dyDescent="0.25">
      <c r="B25" s="695" t="s">
        <v>298</v>
      </c>
      <c r="C25" s="695"/>
      <c r="D25" s="95">
        <v>3</v>
      </c>
      <c r="E25" s="95" t="s">
        <v>317</v>
      </c>
      <c r="F25" s="109" t="s">
        <v>317</v>
      </c>
      <c r="G25" s="95" t="s">
        <v>317</v>
      </c>
      <c r="H25" s="92">
        <v>3.88</v>
      </c>
      <c r="I25" s="500" t="s">
        <v>260</v>
      </c>
    </row>
    <row r="26" spans="2:9" ht="41.25" customHeight="1" thickBot="1" x14ac:dyDescent="0.25">
      <c r="B26" s="695" t="s">
        <v>281</v>
      </c>
      <c r="C26" s="695"/>
      <c r="D26" s="95">
        <v>5</v>
      </c>
      <c r="E26" s="95" t="s">
        <v>317</v>
      </c>
      <c r="F26" s="109">
        <v>4.4400000000000004</v>
      </c>
      <c r="G26" s="95" t="s">
        <v>317</v>
      </c>
      <c r="H26" s="92">
        <v>3.6</v>
      </c>
      <c r="I26" s="500" t="s">
        <v>260</v>
      </c>
    </row>
    <row r="27" spans="2:9" ht="41.25" customHeight="1" thickBot="1" x14ac:dyDescent="0.25">
      <c r="B27" s="695" t="s">
        <v>270</v>
      </c>
      <c r="C27" s="695"/>
      <c r="D27" s="95">
        <v>4.5</v>
      </c>
      <c r="E27" s="95" t="s">
        <v>317</v>
      </c>
      <c r="F27" s="109" t="s">
        <v>317</v>
      </c>
      <c r="G27" s="95">
        <v>2</v>
      </c>
      <c r="H27" s="31">
        <v>4</v>
      </c>
      <c r="I27" s="171" t="s">
        <v>260</v>
      </c>
    </row>
    <row r="28" spans="2:9" ht="41.25" customHeight="1" thickBot="1" x14ac:dyDescent="0.25">
      <c r="B28" s="695" t="s">
        <v>283</v>
      </c>
      <c r="C28" s="695"/>
      <c r="D28" s="95">
        <v>2</v>
      </c>
      <c r="E28" s="95" t="s">
        <v>317</v>
      </c>
      <c r="F28" s="109" t="s">
        <v>317</v>
      </c>
      <c r="G28" s="95">
        <v>2</v>
      </c>
      <c r="H28" s="31">
        <v>4.33</v>
      </c>
      <c r="I28" s="171" t="s">
        <v>260</v>
      </c>
    </row>
    <row r="29" spans="2:9" ht="41.25" customHeight="1" thickBot="1" x14ac:dyDescent="0.25">
      <c r="B29" s="695" t="s">
        <v>271</v>
      </c>
      <c r="C29" s="695"/>
      <c r="D29" s="95">
        <v>4.5</v>
      </c>
      <c r="E29" s="95" t="s">
        <v>317</v>
      </c>
      <c r="F29" s="109" t="s">
        <v>317</v>
      </c>
      <c r="G29" s="95" t="s">
        <v>317</v>
      </c>
      <c r="H29" s="31" t="s">
        <v>317</v>
      </c>
      <c r="I29" s="171" t="s">
        <v>260</v>
      </c>
    </row>
    <row r="30" spans="2:9" ht="41.25" customHeight="1" thickBot="1" x14ac:dyDescent="0.25">
      <c r="B30" s="695" t="s">
        <v>285</v>
      </c>
      <c r="C30" s="695"/>
      <c r="D30" s="95">
        <v>3.5</v>
      </c>
      <c r="E30" s="95" t="s">
        <v>317</v>
      </c>
      <c r="F30" s="109" t="s">
        <v>317</v>
      </c>
      <c r="G30" s="95">
        <v>3</v>
      </c>
      <c r="H30" s="31">
        <v>3.85</v>
      </c>
      <c r="I30" s="171" t="s">
        <v>260</v>
      </c>
    </row>
    <row r="31" spans="2:9" ht="22.5" customHeight="1" x14ac:dyDescent="0.2">
      <c r="B31" s="816">
        <f>D5</f>
        <v>3.5</v>
      </c>
      <c r="C31" s="816"/>
      <c r="D31" s="133">
        <f>COUNTIF(D13:D30,"&gt;=3,5")</f>
        <v>9</v>
      </c>
      <c r="E31" s="133">
        <f t="shared" ref="E31:H31" si="0">COUNTIF(E13:E30,"&gt;=3,5")</f>
        <v>6</v>
      </c>
      <c r="F31" s="133">
        <f t="shared" si="0"/>
        <v>6</v>
      </c>
      <c r="G31" s="133">
        <f t="shared" si="0"/>
        <v>3</v>
      </c>
      <c r="H31" s="133">
        <f t="shared" si="0"/>
        <v>16</v>
      </c>
      <c r="I31" s="133">
        <f t="shared" ref="I31" si="1">COUNTIF(I13:I30,"&gt;=3,5")</f>
        <v>0</v>
      </c>
    </row>
    <row r="32" spans="2:9" ht="22.5" customHeight="1" x14ac:dyDescent="0.2">
      <c r="B32" s="689" t="s">
        <v>274</v>
      </c>
      <c r="C32" s="689"/>
      <c r="D32" s="17">
        <f t="shared" ref="D32:I32" si="2">COUNT(D13:D30)</f>
        <v>14</v>
      </c>
      <c r="E32" s="17">
        <f t="shared" si="2"/>
        <v>6</v>
      </c>
      <c r="F32" s="17">
        <f t="shared" si="2"/>
        <v>9</v>
      </c>
      <c r="G32" s="17">
        <f t="shared" si="2"/>
        <v>12</v>
      </c>
      <c r="H32" s="17">
        <f t="shared" si="2"/>
        <v>17</v>
      </c>
      <c r="I32" s="17">
        <f t="shared" si="2"/>
        <v>0</v>
      </c>
    </row>
    <row r="33" spans="2:14" ht="22.5" customHeight="1" x14ac:dyDescent="0.2">
      <c r="B33" s="685" t="s">
        <v>231</v>
      </c>
      <c r="C33" s="735"/>
      <c r="D33" s="74">
        <f>$D5</f>
        <v>3.5</v>
      </c>
      <c r="E33" s="74">
        <f t="shared" ref="E33:H33" si="3">$D5</f>
        <v>3.5</v>
      </c>
      <c r="F33" s="74">
        <f t="shared" si="3"/>
        <v>3.5</v>
      </c>
      <c r="G33" s="74">
        <f t="shared" si="3"/>
        <v>3.5</v>
      </c>
      <c r="H33" s="74">
        <f t="shared" si="3"/>
        <v>3.5</v>
      </c>
      <c r="I33" s="74">
        <f t="shared" ref="I33" si="4">$D5</f>
        <v>3.5</v>
      </c>
    </row>
    <row r="34" spans="2:14" ht="22.5" customHeight="1" x14ac:dyDescent="0.2">
      <c r="B34" s="685" t="s">
        <v>232</v>
      </c>
      <c r="C34" s="735"/>
      <c r="D34" s="48">
        <f t="shared" ref="D34:I34" si="5">D31/D32</f>
        <v>0.6428571428571429</v>
      </c>
      <c r="E34" s="48">
        <f t="shared" si="5"/>
        <v>1</v>
      </c>
      <c r="F34" s="48">
        <f t="shared" si="5"/>
        <v>0.66666666666666663</v>
      </c>
      <c r="G34" s="523">
        <f t="shared" si="5"/>
        <v>0.25</v>
      </c>
      <c r="H34" s="48">
        <f t="shared" si="5"/>
        <v>0.94117647058823528</v>
      </c>
      <c r="I34" s="48" t="e">
        <f t="shared" si="5"/>
        <v>#DIV/0!</v>
      </c>
      <c r="K34" s="70" t="s">
        <v>234</v>
      </c>
      <c r="L34" s="147"/>
      <c r="M34" s="147"/>
      <c r="N34" s="146"/>
    </row>
    <row r="35" spans="2:14" ht="22.5" customHeight="1" x14ac:dyDescent="0.25">
      <c r="B35" s="7"/>
      <c r="C35" s="7"/>
      <c r="D35" s="6"/>
      <c r="E35" s="6"/>
      <c r="F35" s="6"/>
      <c r="G35" s="6"/>
      <c r="H35" s="6"/>
      <c r="I35" s="6"/>
      <c r="K35" s="9"/>
      <c r="L35" s="9"/>
      <c r="M35" s="9"/>
      <c r="N35" s="9"/>
    </row>
    <row r="36" spans="2:14" ht="22.5" customHeight="1" x14ac:dyDescent="0.2">
      <c r="B36" s="594" t="s">
        <v>233</v>
      </c>
      <c r="C36" s="595"/>
      <c r="D36" s="595"/>
      <c r="E36" s="596"/>
      <c r="F36" s="8"/>
      <c r="K36" s="759" t="s">
        <v>591</v>
      </c>
      <c r="L36" s="760"/>
      <c r="M36" s="760"/>
      <c r="N36" s="761"/>
    </row>
    <row r="37" spans="2:14" ht="22.5" customHeight="1" x14ac:dyDescent="0.2">
      <c r="B37" s="8"/>
      <c r="C37" s="8"/>
      <c r="D37" s="8"/>
      <c r="E37" s="8"/>
      <c r="F37" s="8"/>
      <c r="K37" s="762"/>
      <c r="L37" s="763"/>
      <c r="M37" s="763"/>
      <c r="N37" s="764"/>
    </row>
    <row r="38" spans="2:14" ht="6" customHeight="1" x14ac:dyDescent="0.2">
      <c r="B38" s="8"/>
      <c r="C38" s="8"/>
      <c r="D38" s="8"/>
      <c r="E38" s="8"/>
      <c r="F38" s="8"/>
      <c r="K38" s="762"/>
      <c r="L38" s="763"/>
      <c r="M38" s="763"/>
      <c r="N38" s="764"/>
    </row>
    <row r="39" spans="2:14" ht="19.5" customHeight="1" x14ac:dyDescent="0.2">
      <c r="B39" s="8"/>
      <c r="C39" s="8"/>
      <c r="D39" s="8"/>
      <c r="E39" s="8"/>
      <c r="F39" s="8"/>
      <c r="K39" s="762"/>
      <c r="L39" s="763"/>
      <c r="M39" s="763"/>
      <c r="N39" s="764"/>
    </row>
    <row r="40" spans="2:14" ht="19.5" customHeight="1" x14ac:dyDescent="0.2">
      <c r="B40" s="8"/>
      <c r="C40" s="8"/>
      <c r="D40" s="8"/>
      <c r="E40" s="8"/>
      <c r="F40" s="8"/>
      <c r="K40" s="762"/>
      <c r="L40" s="763"/>
      <c r="M40" s="763"/>
      <c r="N40" s="764"/>
    </row>
    <row r="41" spans="2:14" ht="19.5" customHeight="1" x14ac:dyDescent="0.2">
      <c r="B41" s="8"/>
      <c r="C41" s="8"/>
      <c r="D41" s="8"/>
      <c r="E41" s="8"/>
      <c r="F41" s="8"/>
      <c r="K41" s="762"/>
      <c r="L41" s="763"/>
      <c r="M41" s="763"/>
      <c r="N41" s="764"/>
    </row>
    <row r="42" spans="2:14" ht="19.5" customHeight="1" x14ac:dyDescent="0.2">
      <c r="B42" s="8"/>
      <c r="C42" s="8"/>
      <c r="D42" s="8"/>
      <c r="E42" s="8"/>
      <c r="F42" s="8"/>
      <c r="K42" s="762"/>
      <c r="L42" s="763"/>
      <c r="M42" s="763"/>
      <c r="N42" s="764"/>
    </row>
    <row r="43" spans="2:14" ht="19.5" customHeight="1" x14ac:dyDescent="0.2">
      <c r="B43" s="8"/>
      <c r="C43" s="8"/>
      <c r="D43" s="8"/>
      <c r="E43" s="8"/>
      <c r="F43" s="8"/>
      <c r="K43" s="762"/>
      <c r="L43" s="763"/>
      <c r="M43" s="763"/>
      <c r="N43" s="764"/>
    </row>
    <row r="44" spans="2:14" ht="19.5" customHeight="1" x14ac:dyDescent="0.2">
      <c r="B44" s="8"/>
      <c r="C44" s="8"/>
      <c r="D44" s="8"/>
      <c r="E44" s="8"/>
      <c r="F44" s="8"/>
      <c r="K44" s="810"/>
      <c r="L44" s="811"/>
      <c r="M44" s="811"/>
      <c r="N44" s="812"/>
    </row>
    <row r="45" spans="2:14" ht="19.5" customHeight="1" x14ac:dyDescent="0.2">
      <c r="B45" s="8"/>
      <c r="C45" s="8"/>
      <c r="D45" s="8"/>
      <c r="E45" s="8"/>
      <c r="F45" s="8"/>
    </row>
    <row r="46" spans="2:14" ht="19.5" customHeight="1" x14ac:dyDescent="0.2">
      <c r="B46" s="8"/>
      <c r="C46" s="8"/>
      <c r="D46" s="8"/>
      <c r="E46" s="8"/>
      <c r="F46" s="8"/>
    </row>
    <row r="47" spans="2:14" ht="19.5" customHeight="1" x14ac:dyDescent="0.2"/>
    <row r="48" spans="2:14" ht="19.5" customHeight="1" x14ac:dyDescent="0.2">
      <c r="H48" s="588" t="s">
        <v>172</v>
      </c>
      <c r="I48" s="589"/>
      <c r="J48" s="589"/>
    </row>
  </sheetData>
  <sheetProtection sheet="1" formatCells="0" formatColumns="0" formatRows="0" insertColumns="0" insertRows="0" insertHyperlinks="0" deleteColumns="0" deleteRows="0" pivotTables="0"/>
  <mergeCells count="41">
    <mergeCell ref="B2:D2"/>
    <mergeCell ref="E2:J2"/>
    <mergeCell ref="B4:C4"/>
    <mergeCell ref="D4:E4"/>
    <mergeCell ref="F4:G4"/>
    <mergeCell ref="H4:J4"/>
    <mergeCell ref="B5:C5"/>
    <mergeCell ref="D5:E5"/>
    <mergeCell ref="F5:G5"/>
    <mergeCell ref="H5:J5"/>
    <mergeCell ref="B6:C6"/>
    <mergeCell ref="D6:E6"/>
    <mergeCell ref="F6:G6"/>
    <mergeCell ref="B17:C17"/>
    <mergeCell ref="B7:C7"/>
    <mergeCell ref="D7:J7"/>
    <mergeCell ref="B9:J9"/>
    <mergeCell ref="B13:C13"/>
    <mergeCell ref="B14:C14"/>
    <mergeCell ref="B15:C15"/>
    <mergeCell ref="B16:C16"/>
    <mergeCell ref="B30:C30"/>
    <mergeCell ref="B18:C18"/>
    <mergeCell ref="B19:C19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20:C20"/>
    <mergeCell ref="K36:N44"/>
    <mergeCell ref="H48:J48"/>
    <mergeCell ref="B31:C31"/>
    <mergeCell ref="B32:C32"/>
    <mergeCell ref="B33:C33"/>
    <mergeCell ref="B34:C34"/>
    <mergeCell ref="B36:E36"/>
  </mergeCells>
  <conditionalFormatting sqref="D13:H30">
    <cfRule type="cellIs" dxfId="10" priority="1" operator="lessThan">
      <formula>3.5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8998F-6C66-4690-A776-1BF0D73A6802}">
  <sheetPr>
    <tabColor theme="9" tint="-0.499984740745262"/>
    <pageSetUpPr fitToPage="1"/>
  </sheetPr>
  <dimension ref="B2:N30"/>
  <sheetViews>
    <sheetView showGridLines="0" topLeftCell="A8" workbookViewId="0">
      <selection activeCell="H14" sqref="H14"/>
    </sheetView>
  </sheetViews>
  <sheetFormatPr defaultColWidth="12.5703125" defaultRowHeight="15.75" customHeight="1" x14ac:dyDescent="0.2"/>
  <cols>
    <col min="1" max="1" width="3.42578125" customWidth="1"/>
    <col min="2" max="2" width="14.140625" customWidth="1"/>
    <col min="3" max="3" width="12.5703125" customWidth="1"/>
    <col min="4" max="4" width="17.28515625" bestFit="1" customWidth="1"/>
    <col min="5" max="9" width="12.5703125" customWidth="1"/>
    <col min="10" max="10" width="36.28515625" customWidth="1"/>
    <col min="11" max="20" width="7.5703125" customWidth="1"/>
  </cols>
  <sheetData>
    <row r="2" spans="2:10" ht="55.5" customHeight="1" x14ac:dyDescent="0.2">
      <c r="B2" s="670"/>
      <c r="C2" s="671"/>
      <c r="D2" s="672"/>
      <c r="E2" s="673" t="s">
        <v>213</v>
      </c>
      <c r="F2" s="671"/>
      <c r="G2" s="671"/>
      <c r="H2" s="671"/>
      <c r="I2" s="671"/>
      <c r="J2" s="672"/>
    </row>
    <row r="3" spans="2:10" ht="22.5" customHeight="1" x14ac:dyDescent="0.2">
      <c r="B3" s="46"/>
      <c r="C3" s="46"/>
      <c r="D3" s="47"/>
      <c r="E3" s="47"/>
      <c r="F3" s="47"/>
      <c r="G3" s="47"/>
      <c r="H3" s="47"/>
      <c r="I3" s="47"/>
    </row>
    <row r="4" spans="2:10" ht="42" customHeight="1" x14ac:dyDescent="0.2">
      <c r="B4" s="594" t="s">
        <v>214</v>
      </c>
      <c r="C4" s="596"/>
      <c r="D4" s="674" t="str">
        <f>Índex!B70</f>
        <v>PS5.03_Ind04.</v>
      </c>
      <c r="E4" s="672"/>
      <c r="F4" s="594" t="s">
        <v>215</v>
      </c>
      <c r="G4" s="596"/>
      <c r="H4" s="674" t="str">
        <f>Índex!C70</f>
        <v>Evolució del nombre d'empreses (Indicador Pla Estratègic cursos de 2022/2023 fins 2024/2025). </v>
      </c>
      <c r="I4" s="671"/>
      <c r="J4" s="672"/>
    </row>
    <row r="5" spans="2:10" ht="22.5" customHeight="1" x14ac:dyDescent="0.2">
      <c r="B5" s="594" t="s">
        <v>323</v>
      </c>
      <c r="C5" s="596"/>
      <c r="D5" s="674">
        <f>Índex!F70</f>
        <v>10</v>
      </c>
      <c r="E5" s="672"/>
      <c r="F5" s="732" t="s">
        <v>217</v>
      </c>
      <c r="G5" s="596"/>
      <c r="H5" s="843" t="s">
        <v>236</v>
      </c>
      <c r="I5" s="868"/>
      <c r="J5" s="844"/>
    </row>
    <row r="6" spans="2:10" ht="22.5" customHeight="1" x14ac:dyDescent="0.2">
      <c r="B6" s="594" t="s">
        <v>219</v>
      </c>
      <c r="C6" s="596"/>
      <c r="D6" s="674" t="s">
        <v>220</v>
      </c>
      <c r="E6" s="672"/>
      <c r="F6" s="594" t="s">
        <v>242</v>
      </c>
      <c r="G6" s="596"/>
      <c r="H6" s="107" t="str">
        <f>Índex!E70</f>
        <v>Responsable de Pràctiques</v>
      </c>
      <c r="J6" s="108"/>
    </row>
    <row r="7" spans="2:10" ht="22.5" customHeight="1" x14ac:dyDescent="0.2">
      <c r="B7" s="594" t="s">
        <v>222</v>
      </c>
      <c r="C7" s="596"/>
      <c r="D7" s="674">
        <f>Índex!G70</f>
        <v>0</v>
      </c>
      <c r="E7" s="671"/>
      <c r="F7" s="671"/>
      <c r="G7" s="671"/>
      <c r="H7" s="671"/>
      <c r="I7" s="671"/>
      <c r="J7" s="672"/>
    </row>
    <row r="8" spans="2:10" ht="7.5" customHeight="1" x14ac:dyDescent="0.2"/>
    <row r="9" spans="2:10" ht="22.5" customHeight="1" x14ac:dyDescent="0.2">
      <c r="B9" s="594" t="s">
        <v>223</v>
      </c>
      <c r="C9" s="595"/>
      <c r="D9" s="595"/>
      <c r="E9" s="595"/>
      <c r="F9" s="595"/>
      <c r="G9" s="595"/>
      <c r="H9" s="595"/>
      <c r="I9" s="595"/>
      <c r="J9" s="596"/>
    </row>
    <row r="10" spans="2:10" ht="22.5" customHeight="1" x14ac:dyDescent="0.2">
      <c r="B10" s="14"/>
      <c r="C10" s="13"/>
      <c r="D10" s="13"/>
      <c r="E10" s="13"/>
      <c r="F10" s="13"/>
      <c r="G10" s="13"/>
      <c r="H10" s="13"/>
      <c r="I10" s="13"/>
      <c r="J10" s="13"/>
    </row>
    <row r="11" spans="2:10" ht="22.5" customHeight="1" x14ac:dyDescent="0.2"/>
    <row r="12" spans="2:10" ht="22.5" customHeight="1" x14ac:dyDescent="0.2">
      <c r="B12" s="16"/>
      <c r="C12" s="16"/>
      <c r="D12" s="94" t="s">
        <v>225</v>
      </c>
      <c r="E12" s="94" t="s">
        <v>226</v>
      </c>
      <c r="F12" s="94" t="s">
        <v>227</v>
      </c>
      <c r="G12" s="94" t="s">
        <v>228</v>
      </c>
      <c r="H12" s="94" t="s">
        <v>229</v>
      </c>
      <c r="I12" s="24"/>
    </row>
    <row r="13" spans="2:10" ht="41.25" customHeight="1" x14ac:dyDescent="0.2">
      <c r="B13" s="695" t="s">
        <v>592</v>
      </c>
      <c r="C13" s="751"/>
      <c r="D13" s="271" t="s">
        <v>237</v>
      </c>
      <c r="E13" s="271">
        <v>153</v>
      </c>
      <c r="F13" s="271">
        <v>159</v>
      </c>
      <c r="G13" s="271">
        <v>188</v>
      </c>
      <c r="H13" s="272">
        <v>233</v>
      </c>
      <c r="I13" s="18"/>
      <c r="J13" s="126"/>
    </row>
    <row r="14" spans="2:10" ht="22.5" customHeight="1" x14ac:dyDescent="0.2">
      <c r="B14" s="689" t="s">
        <v>593</v>
      </c>
      <c r="C14" s="689"/>
      <c r="D14" s="50">
        <f>COUNT(D13:D13)</f>
        <v>0</v>
      </c>
      <c r="E14" s="50" t="s">
        <v>238</v>
      </c>
      <c r="F14" s="388">
        <v>6</v>
      </c>
      <c r="G14" s="388">
        <v>29</v>
      </c>
      <c r="H14" s="388">
        <v>45</v>
      </c>
    </row>
    <row r="15" spans="2:10" ht="22.5" customHeight="1" x14ac:dyDescent="0.2">
      <c r="B15" s="45" t="s">
        <v>231</v>
      </c>
      <c r="C15" s="12">
        <f>D5</f>
        <v>10</v>
      </c>
      <c r="D15" s="369" t="s">
        <v>520</v>
      </c>
      <c r="E15" s="369">
        <v>10</v>
      </c>
      <c r="F15" s="369">
        <v>10</v>
      </c>
      <c r="G15" s="369">
        <v>10</v>
      </c>
      <c r="H15" s="369">
        <v>10</v>
      </c>
      <c r="I15" s="25"/>
    </row>
    <row r="16" spans="2:10" ht="22.5" customHeight="1" x14ac:dyDescent="0.2">
      <c r="B16" s="685" t="s">
        <v>232</v>
      </c>
      <c r="C16" s="735"/>
      <c r="D16" s="52" t="s">
        <v>237</v>
      </c>
      <c r="E16" s="52" t="s">
        <v>237</v>
      </c>
      <c r="F16" s="52">
        <f>F14/F15</f>
        <v>0.6</v>
      </c>
      <c r="G16" s="52">
        <f>G14/G15</f>
        <v>2.9</v>
      </c>
      <c r="H16" s="52">
        <f>H14/H15</f>
        <v>4.5</v>
      </c>
      <c r="I16" s="26"/>
    </row>
    <row r="18" spans="2:14" ht="22.5" customHeight="1" x14ac:dyDescent="0.2">
      <c r="B18" s="594" t="s">
        <v>233</v>
      </c>
      <c r="C18" s="595"/>
      <c r="D18" s="595"/>
      <c r="E18" s="596"/>
      <c r="F18" s="8"/>
      <c r="K18" s="594" t="s">
        <v>234</v>
      </c>
      <c r="L18" s="595"/>
      <c r="M18" s="595"/>
      <c r="N18" s="596"/>
    </row>
    <row r="19" spans="2:14" ht="22.5" customHeight="1" x14ac:dyDescent="0.2">
      <c r="B19" s="8"/>
      <c r="C19" s="8"/>
      <c r="D19" s="8"/>
      <c r="E19" s="8"/>
      <c r="F19" s="8"/>
      <c r="K19" s="9"/>
      <c r="L19" s="9"/>
      <c r="M19" s="9"/>
      <c r="N19" s="9"/>
    </row>
    <row r="20" spans="2:14" ht="6" customHeight="1" x14ac:dyDescent="0.2">
      <c r="B20" s="8"/>
      <c r="C20" s="8"/>
      <c r="D20" s="8"/>
      <c r="E20" s="8"/>
      <c r="F20" s="8"/>
      <c r="K20" s="634" t="s">
        <v>172</v>
      </c>
      <c r="L20" s="580"/>
      <c r="M20" s="580"/>
      <c r="N20" s="581"/>
    </row>
    <row r="21" spans="2:14" ht="19.5" customHeight="1" x14ac:dyDescent="0.2">
      <c r="B21" s="8"/>
      <c r="C21" s="8"/>
      <c r="D21" s="8"/>
      <c r="E21" s="8"/>
      <c r="F21" s="8"/>
      <c r="K21" s="582"/>
      <c r="L21" s="583"/>
      <c r="M21" s="583"/>
      <c r="N21" s="584"/>
    </row>
    <row r="22" spans="2:14" ht="19.5" customHeight="1" x14ac:dyDescent="0.2">
      <c r="B22" s="8"/>
      <c r="C22" s="8"/>
      <c r="D22" s="8"/>
      <c r="E22" s="8"/>
      <c r="F22" s="8"/>
      <c r="K22" s="582"/>
      <c r="L22" s="583"/>
      <c r="M22" s="583"/>
      <c r="N22" s="584"/>
    </row>
    <row r="23" spans="2:14" ht="19.5" customHeight="1" x14ac:dyDescent="0.2">
      <c r="B23" s="8"/>
      <c r="C23" s="8"/>
      <c r="D23" s="8"/>
      <c r="E23" s="8"/>
      <c r="F23" s="8"/>
      <c r="K23" s="582"/>
      <c r="L23" s="583"/>
      <c r="M23" s="583"/>
      <c r="N23" s="584"/>
    </row>
    <row r="24" spans="2:14" ht="19.5" customHeight="1" x14ac:dyDescent="0.2">
      <c r="B24" s="8"/>
      <c r="C24" s="8"/>
      <c r="D24" s="8"/>
      <c r="E24" s="8"/>
      <c r="F24" s="8"/>
      <c r="K24" s="582"/>
      <c r="L24" s="583"/>
      <c r="M24" s="583"/>
      <c r="N24" s="584"/>
    </row>
    <row r="25" spans="2:14" ht="19.5" customHeight="1" x14ac:dyDescent="0.2">
      <c r="B25" s="8"/>
      <c r="C25" s="8"/>
      <c r="D25" s="8"/>
      <c r="E25" s="8"/>
      <c r="F25" s="8"/>
      <c r="K25" s="582"/>
      <c r="L25" s="583"/>
      <c r="M25" s="583"/>
      <c r="N25" s="584"/>
    </row>
    <row r="26" spans="2:14" ht="19.5" customHeight="1" x14ac:dyDescent="0.2">
      <c r="B26" s="8"/>
      <c r="C26" s="8"/>
      <c r="D26" s="8"/>
      <c r="E26" s="8"/>
      <c r="F26" s="8"/>
      <c r="K26" s="582"/>
      <c r="L26" s="583"/>
      <c r="M26" s="583"/>
      <c r="N26" s="584"/>
    </row>
    <row r="27" spans="2:14" ht="19.5" customHeight="1" x14ac:dyDescent="0.2">
      <c r="B27" s="8"/>
      <c r="C27" s="8"/>
      <c r="D27" s="8"/>
      <c r="E27" s="8"/>
      <c r="F27" s="8"/>
      <c r="K27" s="582"/>
      <c r="L27" s="583"/>
      <c r="M27" s="583"/>
      <c r="N27" s="584"/>
    </row>
    <row r="28" spans="2:14" ht="19.5" customHeight="1" x14ac:dyDescent="0.2">
      <c r="B28" s="8"/>
      <c r="C28" s="8"/>
      <c r="D28" s="8"/>
      <c r="E28" s="8"/>
      <c r="F28" s="8"/>
      <c r="K28" s="585"/>
      <c r="L28" s="586"/>
      <c r="M28" s="586"/>
      <c r="N28" s="587"/>
    </row>
    <row r="29" spans="2:14" ht="19.5" customHeight="1" x14ac:dyDescent="0.2"/>
    <row r="30" spans="2:14" ht="19.5" customHeight="1" x14ac:dyDescent="0.2">
      <c r="H30" s="588" t="s">
        <v>172</v>
      </c>
      <c r="I30" s="589"/>
      <c r="J30" s="589"/>
    </row>
  </sheetData>
  <sheetProtection sheet="1" formatCells="0" formatColumns="0" formatRows="0" insertColumns="0" insertRows="0" insertHyperlinks="0" deleteColumns="0" deleteRows="0" pivotTables="0"/>
  <mergeCells count="23">
    <mergeCell ref="B2:D2"/>
    <mergeCell ref="E2:J2"/>
    <mergeCell ref="B4:C4"/>
    <mergeCell ref="D4:E4"/>
    <mergeCell ref="F4:G4"/>
    <mergeCell ref="H4:J4"/>
    <mergeCell ref="B14:C14"/>
    <mergeCell ref="B5:C5"/>
    <mergeCell ref="D5:E5"/>
    <mergeCell ref="F5:G5"/>
    <mergeCell ref="H5:J5"/>
    <mergeCell ref="B6:C6"/>
    <mergeCell ref="D6:E6"/>
    <mergeCell ref="F6:G6"/>
    <mergeCell ref="B7:C7"/>
    <mergeCell ref="D7:J7"/>
    <mergeCell ref="B9:J9"/>
    <mergeCell ref="B13:C13"/>
    <mergeCell ref="B16:C16"/>
    <mergeCell ref="B18:E18"/>
    <mergeCell ref="K18:N18"/>
    <mergeCell ref="K20:N28"/>
    <mergeCell ref="H30:J30"/>
  </mergeCells>
  <conditionalFormatting sqref="D13:H13">
    <cfRule type="cellIs" dxfId="9" priority="1" operator="lessThan">
      <formula>0.55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FB034-5802-4330-9618-CB0512CABB00}">
  <sheetPr>
    <tabColor theme="9" tint="-0.499984740745262"/>
    <pageSetUpPr fitToPage="1"/>
  </sheetPr>
  <dimension ref="B2:J48"/>
  <sheetViews>
    <sheetView showGridLines="0" topLeftCell="A70" workbookViewId="0">
      <selection activeCell="G81" sqref="G81"/>
    </sheetView>
  </sheetViews>
  <sheetFormatPr defaultColWidth="12.5703125" defaultRowHeight="15.75" customHeight="1" x14ac:dyDescent="0.2"/>
  <cols>
    <col min="1" max="1" width="3.42578125" customWidth="1"/>
    <col min="2" max="2" width="14.140625" customWidth="1"/>
    <col min="3" max="3" width="12.5703125" customWidth="1"/>
    <col min="4" max="4" width="17.28515625" bestFit="1" customWidth="1"/>
    <col min="5" max="9" width="12.5703125" customWidth="1"/>
    <col min="10" max="10" width="36.28515625" customWidth="1"/>
    <col min="11" max="20" width="7.5703125" customWidth="1"/>
  </cols>
  <sheetData>
    <row r="2" spans="2:10" ht="55.5" customHeight="1" x14ac:dyDescent="0.2">
      <c r="B2" s="670"/>
      <c r="C2" s="671"/>
      <c r="D2" s="672"/>
      <c r="E2" s="673" t="s">
        <v>213</v>
      </c>
      <c r="F2" s="671"/>
      <c r="G2" s="671"/>
      <c r="H2" s="671"/>
      <c r="I2" s="671"/>
      <c r="J2" s="672"/>
    </row>
    <row r="3" spans="2:10" ht="22.5" customHeight="1" x14ac:dyDescent="0.2">
      <c r="B3" s="46"/>
      <c r="C3" s="46"/>
      <c r="D3" s="47"/>
      <c r="E3" s="47"/>
      <c r="F3" s="47"/>
      <c r="G3" s="47"/>
      <c r="H3" s="47"/>
      <c r="I3" s="47"/>
    </row>
    <row r="4" spans="2:10" ht="42" customHeight="1" x14ac:dyDescent="0.2">
      <c r="B4" s="594" t="s">
        <v>214</v>
      </c>
      <c r="C4" s="596"/>
      <c r="D4" s="674" t="str">
        <f>Índex!B71</f>
        <v xml:space="preserve"> PS5.04_Ind01. </v>
      </c>
      <c r="E4" s="672"/>
      <c r="F4" s="594" t="s">
        <v>215</v>
      </c>
      <c r="G4" s="596"/>
      <c r="H4" s="674" t="str">
        <f>Índex!C71</f>
        <v>Percentatge de participació a les enquestes d’avaluació docent, desglossat per titulacions.</v>
      </c>
      <c r="I4" s="671"/>
      <c r="J4" s="672"/>
    </row>
    <row r="5" spans="2:10" ht="22.5" customHeight="1" x14ac:dyDescent="0.2">
      <c r="B5" s="594" t="s">
        <v>323</v>
      </c>
      <c r="C5" s="596"/>
      <c r="D5" s="789">
        <f>Índex!F71</f>
        <v>0.4</v>
      </c>
      <c r="E5" s="790"/>
      <c r="F5" s="732" t="s">
        <v>217</v>
      </c>
      <c r="G5" s="596"/>
      <c r="H5" s="775" t="s">
        <v>594</v>
      </c>
      <c r="I5" s="671"/>
      <c r="J5" s="636"/>
    </row>
    <row r="6" spans="2:10" ht="22.5" customHeight="1" x14ac:dyDescent="0.2">
      <c r="B6" s="594" t="s">
        <v>219</v>
      </c>
      <c r="C6" s="596"/>
      <c r="D6" s="674" t="s">
        <v>220</v>
      </c>
      <c r="E6" s="672"/>
      <c r="F6" s="594" t="s">
        <v>242</v>
      </c>
      <c r="G6" s="596"/>
      <c r="H6" s="12" t="str">
        <f>Índex!E71</f>
        <v>Gestora de Qualitat</v>
      </c>
      <c r="J6" s="108"/>
    </row>
    <row r="7" spans="2:10" ht="22.5" customHeight="1" x14ac:dyDescent="0.2">
      <c r="B7" s="594" t="s">
        <v>222</v>
      </c>
      <c r="C7" s="596"/>
      <c r="D7" s="674" t="str">
        <f>Índex!G71</f>
        <v>PS5.04. Satisfacció dels Grups d’Interès</v>
      </c>
      <c r="E7" s="671"/>
      <c r="F7" s="671"/>
      <c r="G7" s="671"/>
      <c r="H7" s="671"/>
      <c r="I7" s="671"/>
      <c r="J7" s="642"/>
    </row>
    <row r="8" spans="2:10" ht="7.5" customHeight="1" x14ac:dyDescent="0.2"/>
    <row r="9" spans="2:10" ht="22.5" customHeight="1" x14ac:dyDescent="0.2">
      <c r="B9" s="594" t="s">
        <v>223</v>
      </c>
      <c r="C9" s="595"/>
      <c r="D9" s="595"/>
      <c r="E9" s="595"/>
      <c r="F9" s="595"/>
      <c r="G9" s="595"/>
      <c r="H9" s="595"/>
      <c r="I9" s="595"/>
      <c r="J9" s="596"/>
    </row>
    <row r="10" spans="2:10" ht="22.5" customHeight="1" x14ac:dyDescent="0.2">
      <c r="B10" s="33" t="s">
        <v>172</v>
      </c>
      <c r="C10" s="13"/>
      <c r="D10" s="13"/>
      <c r="E10" s="13"/>
      <c r="F10" s="13"/>
      <c r="G10" s="13"/>
      <c r="H10" s="13"/>
      <c r="I10" s="13"/>
      <c r="J10" s="13"/>
    </row>
    <row r="11" spans="2:10" ht="22.5" customHeight="1" x14ac:dyDescent="0.2"/>
    <row r="12" spans="2:10" ht="22.5" customHeight="1" x14ac:dyDescent="0.2">
      <c r="B12" s="16"/>
      <c r="C12" s="16"/>
      <c r="D12" s="94" t="s">
        <v>224</v>
      </c>
      <c r="E12" s="94" t="s">
        <v>225</v>
      </c>
      <c r="F12" s="94" t="s">
        <v>226</v>
      </c>
      <c r="G12" s="94" t="s">
        <v>227</v>
      </c>
      <c r="H12" s="94" t="s">
        <v>228</v>
      </c>
      <c r="I12" s="94" t="s">
        <v>229</v>
      </c>
    </row>
    <row r="13" spans="2:10" ht="41.25" customHeight="1" x14ac:dyDescent="0.2">
      <c r="B13" s="695" t="s">
        <v>244</v>
      </c>
      <c r="C13" s="751"/>
      <c r="D13" s="230">
        <f>(15.27%+29.87%)/2</f>
        <v>0.22570000000000001</v>
      </c>
      <c r="E13" s="230">
        <f>(15.4%+18%)/2</f>
        <v>0.16699999999999998</v>
      </c>
      <c r="F13" s="230">
        <f>(8.8%+10.4%)/2</f>
        <v>9.6000000000000002E-2</v>
      </c>
      <c r="G13" s="230">
        <f>(32.4% + 16.5%)/2</f>
        <v>0.2445</v>
      </c>
      <c r="H13" s="230">
        <v>0.2235</v>
      </c>
      <c r="I13" s="505">
        <v>0.38450000000000001</v>
      </c>
      <c r="J13" s="126"/>
    </row>
    <row r="14" spans="2:10" ht="41.25" customHeight="1" x14ac:dyDescent="0.2">
      <c r="B14" s="695" t="s">
        <v>343</v>
      </c>
      <c r="C14" s="751"/>
      <c r="D14" s="42" t="s">
        <v>237</v>
      </c>
      <c r="E14" s="232" t="s">
        <v>237</v>
      </c>
      <c r="F14" s="232" t="s">
        <v>237</v>
      </c>
      <c r="G14" s="230">
        <f>(31.5%+15.5%)/2</f>
        <v>0.23499999999999999</v>
      </c>
      <c r="H14" s="230">
        <v>0.2195</v>
      </c>
      <c r="I14" s="505">
        <v>0.35649999999999998</v>
      </c>
      <c r="J14" s="126"/>
    </row>
    <row r="15" spans="2:10" ht="41.25" customHeight="1" x14ac:dyDescent="0.2">
      <c r="B15" s="695" t="s">
        <v>293</v>
      </c>
      <c r="C15" s="751"/>
      <c r="D15" s="230">
        <f>(26.5%+14.7%)/2</f>
        <v>0.20600000000000002</v>
      </c>
      <c r="E15" s="230">
        <f>(14.6%+24.5%)/2</f>
        <v>0.19550000000000001</v>
      </c>
      <c r="F15" s="230">
        <f>(10.3%+13.5%)/2</f>
        <v>0.11900000000000001</v>
      </c>
      <c r="G15" s="230">
        <f>(43.2%+11.9%)/2</f>
        <v>0.27550000000000002</v>
      </c>
      <c r="H15" s="230">
        <v>0.17949999999999999</v>
      </c>
      <c r="I15" s="230">
        <v>0.32250000000000001</v>
      </c>
      <c r="J15" s="126"/>
    </row>
    <row r="16" spans="2:10" ht="41.25" customHeight="1" x14ac:dyDescent="0.2">
      <c r="B16" s="695" t="s">
        <v>247</v>
      </c>
      <c r="C16" s="751"/>
      <c r="D16" s="230">
        <f>(48.8%+31.7%)/2</f>
        <v>0.40249999999999997</v>
      </c>
      <c r="E16" s="230">
        <f>(25.9%+16.9%)/2</f>
        <v>0.214</v>
      </c>
      <c r="F16" s="230">
        <f>(15.7%+6.6%)/2</f>
        <v>0.1115</v>
      </c>
      <c r="G16" s="230">
        <f>(38.5%+30.7%)/2</f>
        <v>0.34599999999999997</v>
      </c>
      <c r="H16" s="230">
        <v>0.32250000000000001</v>
      </c>
      <c r="I16" s="230">
        <v>0.41949999999999998</v>
      </c>
      <c r="J16" s="126"/>
    </row>
    <row r="17" spans="2:9" ht="41.25" customHeight="1" x14ac:dyDescent="0.2">
      <c r="B17" s="695" t="s">
        <v>336</v>
      </c>
      <c r="C17" s="751"/>
      <c r="D17" s="230">
        <f>(33.3%+35%)/2</f>
        <v>0.34149999999999997</v>
      </c>
      <c r="E17" s="230">
        <f>(15.5%+27.4%)/2</f>
        <v>0.21449999999999997</v>
      </c>
      <c r="F17" s="230">
        <f>(5.4%+18.2%)/2</f>
        <v>0.11799999999999999</v>
      </c>
      <c r="G17" s="230">
        <f>(40.9%+38.1%)/2</f>
        <v>0.39500000000000002</v>
      </c>
      <c r="H17" s="230">
        <v>0.41949999999999998</v>
      </c>
      <c r="I17" s="505">
        <v>0.36349999999999999</v>
      </c>
    </row>
    <row r="18" spans="2:9" ht="41.25" customHeight="1" x14ac:dyDescent="0.2">
      <c r="B18" s="695" t="s">
        <v>337</v>
      </c>
      <c r="C18" s="751"/>
      <c r="D18" s="230">
        <f>(64.1%+43.1%)/2</f>
        <v>0.53599999999999992</v>
      </c>
      <c r="E18" s="230">
        <f>(15.7%+20.4%)/2</f>
        <v>0.18049999999999999</v>
      </c>
      <c r="F18" s="230">
        <f>(9.7%+13.5%)/2</f>
        <v>0.11599999999999999</v>
      </c>
      <c r="G18" s="230">
        <f>(57.8%+37.3%)/2</f>
        <v>0.47549999999999998</v>
      </c>
      <c r="H18" s="230">
        <v>0.48599999999999999</v>
      </c>
      <c r="I18" s="230">
        <v>0.46949999999999997</v>
      </c>
    </row>
    <row r="19" spans="2:9" ht="41.25" customHeight="1" x14ac:dyDescent="0.2">
      <c r="B19" s="695" t="s">
        <v>250</v>
      </c>
      <c r="C19" s="751"/>
      <c r="D19" s="230">
        <f>(17.5%+20%)/2</f>
        <v>0.1875</v>
      </c>
      <c r="E19" s="230">
        <f>(16.4%+27.1%)/2</f>
        <v>0.2175</v>
      </c>
      <c r="F19" s="230">
        <f>(7.3%+1.9%)/2</f>
        <v>4.5999999999999999E-2</v>
      </c>
      <c r="G19" s="230">
        <f>(33.1%+ 11.2%)/2</f>
        <v>0.2215</v>
      </c>
      <c r="H19" s="230">
        <v>0.22950000000000001</v>
      </c>
      <c r="I19" s="230">
        <v>0.27</v>
      </c>
    </row>
    <row r="20" spans="2:9" ht="41.25" customHeight="1" x14ac:dyDescent="0.2">
      <c r="B20" s="751" t="s">
        <v>350</v>
      </c>
      <c r="C20" s="881"/>
      <c r="D20" s="230">
        <f>(27.5%+58.2%)/2</f>
        <v>0.42850000000000005</v>
      </c>
      <c r="E20" s="230" t="s">
        <v>595</v>
      </c>
      <c r="F20" s="230" t="s">
        <v>595</v>
      </c>
      <c r="G20" s="230">
        <f>(67.2%+ 39.6%)/2</f>
        <v>0.53400000000000003</v>
      </c>
      <c r="H20" s="230">
        <v>0.40050000000000002</v>
      </c>
      <c r="I20" s="230">
        <v>0.42449999999999999</v>
      </c>
    </row>
    <row r="21" spans="2:9" ht="41.25" customHeight="1" x14ac:dyDescent="0.2">
      <c r="B21" s="695" t="s">
        <v>252</v>
      </c>
      <c r="C21" s="751"/>
      <c r="D21" s="230">
        <f>(27.8%+27.7%)/2</f>
        <v>0.27749999999999997</v>
      </c>
      <c r="E21" s="230">
        <f>(15.5%+25.2%)/2</f>
        <v>0.20350000000000001</v>
      </c>
      <c r="F21" s="230">
        <f>(8.5%+13.5%)/2</f>
        <v>0.11000000000000001</v>
      </c>
      <c r="G21" s="230">
        <f>(39.6%+ 39.5%)/2</f>
        <v>0.39550000000000002</v>
      </c>
      <c r="H21" s="230">
        <v>0.39400000000000002</v>
      </c>
      <c r="I21" s="230">
        <v>0.32950000000000002</v>
      </c>
    </row>
    <row r="22" spans="2:9" ht="41.25" customHeight="1" x14ac:dyDescent="0.2">
      <c r="B22" s="695" t="s">
        <v>253</v>
      </c>
      <c r="C22" s="751"/>
      <c r="D22" s="230">
        <f>(27.5%+19.3%)/2</f>
        <v>0.23400000000000001</v>
      </c>
      <c r="E22" s="230">
        <f>(14%+14%)/2</f>
        <v>0.14000000000000001</v>
      </c>
      <c r="F22" s="230">
        <f>(9.8%+2.4%)/2</f>
        <v>6.0999999999999999E-2</v>
      </c>
      <c r="G22" s="230">
        <f>(29.4%+22.6%)/2</f>
        <v>0.26</v>
      </c>
      <c r="H22" s="230">
        <v>0.17749999999999999</v>
      </c>
      <c r="I22" s="230">
        <v>0.24099999999999999</v>
      </c>
    </row>
    <row r="23" spans="2:9" ht="41.25" customHeight="1" x14ac:dyDescent="0.2">
      <c r="B23" s="695" t="s">
        <v>254</v>
      </c>
      <c r="C23" s="751"/>
      <c r="D23" s="230">
        <f>(35%+29.8%)/2</f>
        <v>0.32399999999999995</v>
      </c>
      <c r="E23" s="230">
        <f>(13.1%+14.3%)/2</f>
        <v>0.13700000000000001</v>
      </c>
      <c r="F23" s="230">
        <f>(4.2%+8.1%)/2</f>
        <v>6.1499999999999999E-2</v>
      </c>
      <c r="G23" s="230">
        <f>(27.3%+ 8.2%)/2</f>
        <v>0.17749999999999999</v>
      </c>
      <c r="H23" s="230">
        <v>0.19850000000000001</v>
      </c>
      <c r="I23" s="230">
        <v>0.24149999999999999</v>
      </c>
    </row>
    <row r="24" spans="2:9" ht="41.25" customHeight="1" x14ac:dyDescent="0.2">
      <c r="B24" s="695" t="s">
        <v>267</v>
      </c>
      <c r="C24" s="751"/>
      <c r="D24" s="230">
        <f>(7.7%+12%)/2</f>
        <v>9.8500000000000004E-2</v>
      </c>
      <c r="E24" s="230">
        <f>(24.4%+15.6%)/2</f>
        <v>0.2</v>
      </c>
      <c r="F24" s="230">
        <v>0.1111</v>
      </c>
      <c r="G24" s="230">
        <f>(15.2%+1.7%)/2</f>
        <v>8.4499999999999992E-2</v>
      </c>
      <c r="H24" s="230">
        <v>0.10299999999999999</v>
      </c>
      <c r="I24" s="230">
        <v>0.17050000000000001</v>
      </c>
    </row>
    <row r="25" spans="2:9" ht="41.25" customHeight="1" x14ac:dyDescent="0.2">
      <c r="B25" s="695" t="s">
        <v>298</v>
      </c>
      <c r="C25" s="751"/>
      <c r="D25" s="230">
        <f>(14.7%+8.2%)/2</f>
        <v>0.11449999999999999</v>
      </c>
      <c r="E25" s="230">
        <f>(13.5%+37.8%)/2</f>
        <v>0.25649999999999995</v>
      </c>
      <c r="F25" s="230">
        <v>6.6699999999999995E-2</v>
      </c>
      <c r="G25" s="230">
        <f>(18.7%+25.7%)/2</f>
        <v>0.222</v>
      </c>
      <c r="H25" s="230">
        <v>0.13300000000000001</v>
      </c>
      <c r="I25" s="230">
        <v>0.17199999999999999</v>
      </c>
    </row>
    <row r="26" spans="2:9" ht="41.25" customHeight="1" x14ac:dyDescent="0.2">
      <c r="B26" s="695" t="s">
        <v>281</v>
      </c>
      <c r="C26" s="751"/>
      <c r="D26" s="230">
        <f>(11.7%%+32%)/2</f>
        <v>0.16058500000000001</v>
      </c>
      <c r="E26" s="230">
        <f>(33.3%+30%)/2</f>
        <v>0.3165</v>
      </c>
      <c r="F26" s="230">
        <v>0.5625</v>
      </c>
      <c r="G26" s="230">
        <f>(83.3%+85.7%)/2</f>
        <v>0.84499999999999997</v>
      </c>
      <c r="H26" s="230">
        <v>0.34599999999999997</v>
      </c>
      <c r="I26" s="230">
        <v>0.308</v>
      </c>
    </row>
    <row r="27" spans="2:9" ht="41.25" customHeight="1" x14ac:dyDescent="0.2">
      <c r="B27" s="695" t="s">
        <v>270</v>
      </c>
      <c r="C27" s="751"/>
      <c r="D27" s="230">
        <f>(9.6%+9.7%)/2</f>
        <v>9.6500000000000002E-2</v>
      </c>
      <c r="E27" s="230">
        <f>(4.7%+6.3%)/2</f>
        <v>5.5E-2</v>
      </c>
      <c r="F27" s="230">
        <v>3.1300000000000001E-2</v>
      </c>
      <c r="G27" s="230">
        <f>(15.7%+14.1%)/2</f>
        <v>0.14899999999999999</v>
      </c>
      <c r="H27" s="230">
        <v>0.13400000000000001</v>
      </c>
      <c r="I27" s="230">
        <v>6.9000000000000006E-2</v>
      </c>
    </row>
    <row r="28" spans="2:9" ht="41.25" customHeight="1" x14ac:dyDescent="0.2">
      <c r="B28" s="695" t="s">
        <v>283</v>
      </c>
      <c r="C28" s="751"/>
      <c r="D28" s="230">
        <f>(9.01%+8.6%)/2</f>
        <v>8.8049999999999989E-2</v>
      </c>
      <c r="E28" s="230">
        <f>(26.5%+32.7%)/2</f>
        <v>0.29600000000000004</v>
      </c>
      <c r="F28" s="230">
        <v>0.17649999999999999</v>
      </c>
      <c r="G28" s="230">
        <v>0.54500000000000004</v>
      </c>
      <c r="H28" s="230">
        <v>0.33300000000000002</v>
      </c>
      <c r="I28" s="505">
        <v>0.36099999999999999</v>
      </c>
    </row>
    <row r="29" spans="2:9" ht="41.25" customHeight="1" x14ac:dyDescent="0.2">
      <c r="B29" s="695" t="s">
        <v>271</v>
      </c>
      <c r="C29" s="751"/>
      <c r="D29" s="42" t="s">
        <v>596</v>
      </c>
      <c r="E29" s="230">
        <f>(100%+20%)/2</f>
        <v>0.6</v>
      </c>
      <c r="F29" s="233">
        <v>0</v>
      </c>
      <c r="G29" s="233">
        <v>0.5</v>
      </c>
      <c r="H29" s="233" t="s">
        <v>237</v>
      </c>
      <c r="I29" s="233" t="s">
        <v>237</v>
      </c>
    </row>
    <row r="30" spans="2:9" ht="41.25" customHeight="1" x14ac:dyDescent="0.2">
      <c r="B30" s="752" t="s">
        <v>285</v>
      </c>
      <c r="C30" s="753"/>
      <c r="D30" s="234">
        <v>0.19400000000000001</v>
      </c>
      <c r="E30" s="234">
        <v>0.25</v>
      </c>
      <c r="F30" s="234">
        <v>6.9800000000000001E-2</v>
      </c>
      <c r="G30" s="234">
        <v>6.0999999999999999E-2</v>
      </c>
      <c r="H30" s="234">
        <v>0.21099999999999999</v>
      </c>
      <c r="I30" s="234">
        <v>0.72399999999999998</v>
      </c>
    </row>
    <row r="31" spans="2:9" ht="22.5" customHeight="1" x14ac:dyDescent="0.2">
      <c r="B31" s="687">
        <f>D5</f>
        <v>0.4</v>
      </c>
      <c r="C31" s="687"/>
      <c r="D31" s="78">
        <f t="shared" ref="D31:I31" si="0">COUNTIF(D13:D30,"&gt;=40%")</f>
        <v>3</v>
      </c>
      <c r="E31" s="78">
        <f t="shared" si="0"/>
        <v>1</v>
      </c>
      <c r="F31" s="78">
        <f t="shared" si="0"/>
        <v>1</v>
      </c>
      <c r="G31" s="78">
        <f t="shared" si="0"/>
        <v>5</v>
      </c>
      <c r="H31" s="78">
        <f t="shared" si="0"/>
        <v>3</v>
      </c>
      <c r="I31" s="78">
        <f t="shared" si="0"/>
        <v>4</v>
      </c>
    </row>
    <row r="32" spans="2:9" ht="22.5" customHeight="1" x14ac:dyDescent="0.2">
      <c r="B32" s="880" t="s">
        <v>274</v>
      </c>
      <c r="C32" s="880"/>
      <c r="D32" s="540">
        <f t="shared" ref="D32:I32" si="1">COUNT(D13:D30)</f>
        <v>16</v>
      </c>
      <c r="E32" s="540">
        <f t="shared" si="1"/>
        <v>16</v>
      </c>
      <c r="F32" s="540">
        <f t="shared" si="1"/>
        <v>16</v>
      </c>
      <c r="G32" s="540">
        <f t="shared" si="1"/>
        <v>18</v>
      </c>
      <c r="H32" s="540">
        <f t="shared" si="1"/>
        <v>17</v>
      </c>
      <c r="I32" s="540">
        <f t="shared" si="1"/>
        <v>17</v>
      </c>
    </row>
    <row r="33" spans="2:10" ht="22.5" customHeight="1" x14ac:dyDescent="0.2">
      <c r="B33" s="685" t="s">
        <v>231</v>
      </c>
      <c r="C33" s="735"/>
      <c r="D33" s="151">
        <f>$D5</f>
        <v>0.4</v>
      </c>
      <c r="E33" s="151">
        <f t="shared" ref="E33:G33" si="2">$D5</f>
        <v>0.4</v>
      </c>
      <c r="F33" s="151">
        <f t="shared" si="2"/>
        <v>0.4</v>
      </c>
      <c r="G33" s="151">
        <f t="shared" si="2"/>
        <v>0.4</v>
      </c>
      <c r="H33" s="151">
        <f>$D5</f>
        <v>0.4</v>
      </c>
      <c r="I33" s="151">
        <f>$D5</f>
        <v>0.4</v>
      </c>
    </row>
    <row r="34" spans="2:10" ht="22.5" customHeight="1" x14ac:dyDescent="0.2">
      <c r="B34" s="685" t="s">
        <v>232</v>
      </c>
      <c r="C34" s="735"/>
      <c r="D34" s="48">
        <f t="shared" ref="D34:I34" si="3">D31/D32</f>
        <v>0.1875</v>
      </c>
      <c r="E34" s="48">
        <f t="shared" si="3"/>
        <v>6.25E-2</v>
      </c>
      <c r="F34" s="48">
        <f t="shared" si="3"/>
        <v>6.25E-2</v>
      </c>
      <c r="G34" s="48">
        <f t="shared" si="3"/>
        <v>0.27777777777777779</v>
      </c>
      <c r="H34" s="48">
        <f t="shared" si="3"/>
        <v>0.17647058823529413</v>
      </c>
      <c r="I34" s="48">
        <f t="shared" si="3"/>
        <v>0.23529411764705882</v>
      </c>
    </row>
    <row r="35" spans="2:10" ht="22.5" customHeight="1" x14ac:dyDescent="0.25">
      <c r="B35" s="7"/>
      <c r="C35" s="7"/>
      <c r="D35" s="6"/>
      <c r="E35" s="6"/>
      <c r="F35" s="6"/>
      <c r="G35" s="6"/>
      <c r="H35" s="6"/>
      <c r="I35" s="6"/>
      <c r="J35" s="6"/>
    </row>
    <row r="36" spans="2:10" ht="22.5" customHeight="1" x14ac:dyDescent="0.2">
      <c r="B36" s="594" t="s">
        <v>233</v>
      </c>
      <c r="C36" s="595"/>
      <c r="D36" s="595"/>
      <c r="E36" s="596"/>
      <c r="F36" s="8"/>
      <c r="G36" s="594" t="s">
        <v>234</v>
      </c>
      <c r="H36" s="595"/>
      <c r="I36" s="595"/>
      <c r="J36" s="596"/>
    </row>
    <row r="37" spans="2:10" ht="22.5" customHeight="1" x14ac:dyDescent="0.2">
      <c r="B37" s="8"/>
      <c r="C37" s="8"/>
      <c r="D37" s="8"/>
      <c r="E37" s="8"/>
      <c r="F37" s="8"/>
      <c r="G37" s="9"/>
      <c r="H37" s="9"/>
      <c r="I37" s="9"/>
      <c r="J37" s="9"/>
    </row>
    <row r="38" spans="2:10" ht="6" customHeight="1" x14ac:dyDescent="0.2">
      <c r="B38" s="8"/>
      <c r="C38" s="8"/>
      <c r="D38" s="8"/>
      <c r="E38" s="8"/>
      <c r="F38" s="8"/>
      <c r="G38" s="634" t="s">
        <v>597</v>
      </c>
      <c r="H38" s="580"/>
      <c r="I38" s="580"/>
      <c r="J38" s="581"/>
    </row>
    <row r="39" spans="2:10" ht="19.5" customHeight="1" x14ac:dyDescent="0.2">
      <c r="B39" s="8"/>
      <c r="C39" s="8"/>
      <c r="D39" s="8"/>
      <c r="E39" s="8"/>
      <c r="F39" s="8"/>
      <c r="G39" s="582"/>
      <c r="H39" s="583"/>
      <c r="I39" s="583"/>
      <c r="J39" s="584"/>
    </row>
    <row r="40" spans="2:10" ht="19.5" customHeight="1" x14ac:dyDescent="0.2">
      <c r="B40" s="8"/>
      <c r="C40" s="8"/>
      <c r="D40" s="8"/>
      <c r="E40" s="8"/>
      <c r="F40" s="8"/>
      <c r="G40" s="582"/>
      <c r="H40" s="583"/>
      <c r="I40" s="583"/>
      <c r="J40" s="584"/>
    </row>
    <row r="41" spans="2:10" ht="19.5" customHeight="1" x14ac:dyDescent="0.2">
      <c r="B41" s="8"/>
      <c r="C41" s="8"/>
      <c r="D41" s="8"/>
      <c r="E41" s="8"/>
      <c r="F41" s="8"/>
      <c r="G41" s="582"/>
      <c r="H41" s="583"/>
      <c r="I41" s="583"/>
      <c r="J41" s="584"/>
    </row>
    <row r="42" spans="2:10" ht="19.5" customHeight="1" x14ac:dyDescent="0.2">
      <c r="B42" s="8"/>
      <c r="C42" s="8"/>
      <c r="D42" s="8"/>
      <c r="E42" s="8"/>
      <c r="F42" s="8"/>
      <c r="G42" s="582"/>
      <c r="H42" s="583"/>
      <c r="I42" s="583"/>
      <c r="J42" s="584"/>
    </row>
    <row r="43" spans="2:10" ht="19.5" customHeight="1" x14ac:dyDescent="0.2">
      <c r="B43" s="8"/>
      <c r="C43" s="8"/>
      <c r="D43" s="8"/>
      <c r="E43" s="8"/>
      <c r="F43" s="8"/>
      <c r="G43" s="582"/>
      <c r="H43" s="583"/>
      <c r="I43" s="583"/>
      <c r="J43" s="584"/>
    </row>
    <row r="44" spans="2:10" ht="19.5" customHeight="1" x14ac:dyDescent="0.2">
      <c r="B44" s="8"/>
      <c r="C44" s="8"/>
      <c r="D44" s="8"/>
      <c r="E44" s="8"/>
      <c r="F44" s="8"/>
      <c r="G44" s="582"/>
      <c r="H44" s="583"/>
      <c r="I44" s="583"/>
      <c r="J44" s="584"/>
    </row>
    <row r="45" spans="2:10" ht="19.5" customHeight="1" x14ac:dyDescent="0.2">
      <c r="B45" s="8"/>
      <c r="C45" s="8"/>
      <c r="D45" s="8"/>
      <c r="E45" s="8"/>
      <c r="F45" s="8"/>
      <c r="G45" s="582"/>
      <c r="H45" s="583"/>
      <c r="I45" s="583"/>
      <c r="J45" s="584"/>
    </row>
    <row r="46" spans="2:10" ht="19.5" customHeight="1" x14ac:dyDescent="0.2">
      <c r="B46" s="8"/>
      <c r="C46" s="8"/>
      <c r="D46" s="8"/>
      <c r="E46" s="8"/>
      <c r="F46" s="8"/>
      <c r="G46" s="585"/>
      <c r="H46" s="586"/>
      <c r="I46" s="586"/>
      <c r="J46" s="587"/>
    </row>
    <row r="47" spans="2:10" ht="19.5" customHeight="1" x14ac:dyDescent="0.2"/>
    <row r="48" spans="2:10" ht="19.5" customHeight="1" x14ac:dyDescent="0.2">
      <c r="H48" s="588" t="s">
        <v>172</v>
      </c>
      <c r="I48" s="589"/>
      <c r="J48" s="589"/>
    </row>
  </sheetData>
  <sheetProtection sheet="1" formatCells="0" formatColumns="0" formatRows="0" insertColumns="0" insertRows="0" insertHyperlinks="0" deleteColumns="0" deleteRows="0" pivotTables="0"/>
  <mergeCells count="42">
    <mergeCell ref="B2:D2"/>
    <mergeCell ref="E2:J2"/>
    <mergeCell ref="B4:C4"/>
    <mergeCell ref="D4:E4"/>
    <mergeCell ref="F4:G4"/>
    <mergeCell ref="H4:J4"/>
    <mergeCell ref="B5:C5"/>
    <mergeCell ref="D5:E5"/>
    <mergeCell ref="F5:G5"/>
    <mergeCell ref="H5:J5"/>
    <mergeCell ref="B6:C6"/>
    <mergeCell ref="D6:E6"/>
    <mergeCell ref="F6:G6"/>
    <mergeCell ref="B17:C17"/>
    <mergeCell ref="B7:C7"/>
    <mergeCell ref="D7:J7"/>
    <mergeCell ref="B9:J9"/>
    <mergeCell ref="B13:C13"/>
    <mergeCell ref="B14:C14"/>
    <mergeCell ref="B15:C15"/>
    <mergeCell ref="B16:C16"/>
    <mergeCell ref="B30:C30"/>
    <mergeCell ref="B18:C18"/>
    <mergeCell ref="B19:C19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20:C20"/>
    <mergeCell ref="G38:J46"/>
    <mergeCell ref="H48:J48"/>
    <mergeCell ref="B31:C31"/>
    <mergeCell ref="B32:C32"/>
    <mergeCell ref="B33:C33"/>
    <mergeCell ref="B34:C34"/>
    <mergeCell ref="B36:E36"/>
    <mergeCell ref="G36:J36"/>
  </mergeCells>
  <conditionalFormatting sqref="D13:I30">
    <cfRule type="cellIs" dxfId="8" priority="1" operator="between">
      <formula>0</formula>
      <formula>0.36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A319D-8846-499F-9FCC-4EF8C057FBE3}">
  <sheetPr>
    <tabColor theme="9" tint="-0.499984740745262"/>
    <pageSetUpPr fitToPage="1"/>
  </sheetPr>
  <dimension ref="B2:N48"/>
  <sheetViews>
    <sheetView showGridLines="0" topLeftCell="A30" zoomScale="82" zoomScaleNormal="82" workbookViewId="0">
      <selection activeCell="I33" sqref="I33"/>
    </sheetView>
  </sheetViews>
  <sheetFormatPr defaultColWidth="12.5703125" defaultRowHeight="15.75" customHeight="1" x14ac:dyDescent="0.2"/>
  <cols>
    <col min="1" max="1" width="3.42578125" customWidth="1"/>
    <col min="2" max="2" width="14.140625" customWidth="1"/>
    <col min="3" max="3" width="12.5703125" customWidth="1"/>
    <col min="4" max="4" width="17.28515625" bestFit="1" customWidth="1"/>
    <col min="5" max="9" width="12.5703125" customWidth="1"/>
    <col min="10" max="10" width="36.28515625" customWidth="1"/>
    <col min="11" max="20" width="7.5703125" customWidth="1"/>
  </cols>
  <sheetData>
    <row r="2" spans="2:14" ht="55.5" customHeight="1" x14ac:dyDescent="0.2">
      <c r="B2" s="670"/>
      <c r="C2" s="671"/>
      <c r="D2" s="672"/>
      <c r="E2" s="673" t="s">
        <v>213</v>
      </c>
      <c r="F2" s="671"/>
      <c r="G2" s="671"/>
      <c r="H2" s="671"/>
      <c r="I2" s="671"/>
      <c r="J2" s="672"/>
    </row>
    <row r="3" spans="2:14" ht="22.5" customHeight="1" x14ac:dyDescent="0.2">
      <c r="B3" s="46"/>
      <c r="C3" s="46"/>
      <c r="D3" s="47"/>
      <c r="E3" s="47"/>
      <c r="F3" s="47"/>
      <c r="G3" s="47"/>
      <c r="H3" s="47"/>
      <c r="I3" s="47"/>
    </row>
    <row r="4" spans="2:14" ht="42" customHeight="1" x14ac:dyDescent="0.2">
      <c r="B4" s="594" t="s">
        <v>214</v>
      </c>
      <c r="C4" s="596"/>
      <c r="D4" s="674" t="str">
        <f>Índex!B72</f>
        <v xml:space="preserve"> PS5.04_Ind02. </v>
      </c>
      <c r="E4" s="672"/>
      <c r="F4" s="594" t="s">
        <v>215</v>
      </c>
      <c r="G4" s="596"/>
      <c r="H4" s="674" t="str">
        <f>Índex!C72</f>
        <v>Percentatge de participació a les enquestes de satisfacció de les assignatures, desglossat per titulacions.</v>
      </c>
      <c r="I4" s="671"/>
      <c r="J4" s="672"/>
    </row>
    <row r="5" spans="2:14" ht="22.5" customHeight="1" x14ac:dyDescent="0.2">
      <c r="B5" s="594" t="s">
        <v>323</v>
      </c>
      <c r="C5" s="596"/>
      <c r="D5" s="869">
        <f>Índex!F72</f>
        <v>0.4</v>
      </c>
      <c r="E5" s="870"/>
      <c r="F5" s="732" t="s">
        <v>217</v>
      </c>
      <c r="G5" s="596"/>
      <c r="H5" s="775" t="s">
        <v>594</v>
      </c>
      <c r="I5" s="671"/>
      <c r="J5" s="636"/>
    </row>
    <row r="6" spans="2:14" ht="22.5" customHeight="1" x14ac:dyDescent="0.2">
      <c r="B6" s="594" t="s">
        <v>219</v>
      </c>
      <c r="C6" s="596"/>
      <c r="D6" s="674" t="s">
        <v>220</v>
      </c>
      <c r="E6" s="672"/>
      <c r="F6" s="594" t="s">
        <v>242</v>
      </c>
      <c r="G6" s="596"/>
      <c r="H6" s="12" t="str">
        <f>Índex!E72</f>
        <v>Gestora de Qualitat</v>
      </c>
      <c r="J6" s="19"/>
    </row>
    <row r="7" spans="2:14" ht="22.5" customHeight="1" x14ac:dyDescent="0.2">
      <c r="B7" s="594" t="s">
        <v>222</v>
      </c>
      <c r="C7" s="596"/>
      <c r="D7" s="674" t="str">
        <f>Índex!G72</f>
        <v>PS5.04. Satisfacció dels Grups d’Interès</v>
      </c>
      <c r="E7" s="671"/>
      <c r="F7" s="671"/>
      <c r="G7" s="671"/>
      <c r="H7" s="671"/>
      <c r="I7" s="671"/>
      <c r="J7" s="672"/>
    </row>
    <row r="8" spans="2:14" ht="7.5" customHeight="1" x14ac:dyDescent="0.2"/>
    <row r="9" spans="2:14" ht="22.5" customHeight="1" x14ac:dyDescent="0.2">
      <c r="B9" s="594" t="s">
        <v>223</v>
      </c>
      <c r="C9" s="595"/>
      <c r="D9" s="595"/>
      <c r="E9" s="595"/>
      <c r="F9" s="595"/>
      <c r="G9" s="595"/>
      <c r="H9" s="595"/>
      <c r="I9" s="595"/>
      <c r="J9" s="596"/>
    </row>
    <row r="10" spans="2:14" ht="22.5" customHeight="1" x14ac:dyDescent="0.2">
      <c r="B10" s="33" t="s">
        <v>172</v>
      </c>
      <c r="C10" s="13"/>
      <c r="D10" s="13"/>
      <c r="E10" s="13"/>
      <c r="F10" s="13"/>
      <c r="G10" s="13"/>
      <c r="H10" s="13"/>
      <c r="I10" s="13"/>
      <c r="J10" s="13"/>
    </row>
    <row r="11" spans="2:14" ht="22.5" customHeight="1" x14ac:dyDescent="0.2"/>
    <row r="12" spans="2:14" ht="22.5" customHeight="1" x14ac:dyDescent="0.2">
      <c r="B12" s="16"/>
      <c r="C12" s="16"/>
      <c r="D12" s="94" t="s">
        <v>224</v>
      </c>
      <c r="E12" s="94" t="s">
        <v>225</v>
      </c>
      <c r="F12" s="94" t="s">
        <v>226</v>
      </c>
      <c r="G12" s="94" t="s">
        <v>227</v>
      </c>
      <c r="H12" s="94" t="s">
        <v>228</v>
      </c>
      <c r="I12" s="94" t="s">
        <v>229</v>
      </c>
      <c r="K12" s="594" t="s">
        <v>234</v>
      </c>
      <c r="L12" s="595"/>
      <c r="M12" s="595"/>
      <c r="N12" s="596"/>
    </row>
    <row r="13" spans="2:14" ht="41.25" customHeight="1" x14ac:dyDescent="0.2">
      <c r="B13" s="695" t="s">
        <v>244</v>
      </c>
      <c r="C13" s="695"/>
      <c r="D13" s="142">
        <f>(15.27%+29.87%)/2</f>
        <v>0.22570000000000001</v>
      </c>
      <c r="E13" s="142">
        <f>(22.81%+29.87%)/2</f>
        <v>0.26340000000000002</v>
      </c>
      <c r="F13" s="142">
        <v>0.21440000000000001</v>
      </c>
      <c r="G13" s="236">
        <f>(14.28%+ 16.36%)/2</f>
        <v>0.1532</v>
      </c>
      <c r="H13" s="236">
        <f>(20.04%+ 28.29%)/2</f>
        <v>0.24164999999999998</v>
      </c>
      <c r="I13" s="236">
        <v>0.36530000000000001</v>
      </c>
      <c r="K13" s="9"/>
      <c r="L13" s="9"/>
      <c r="M13" s="9"/>
      <c r="N13" s="9"/>
    </row>
    <row r="14" spans="2:14" ht="41.25" customHeight="1" x14ac:dyDescent="0.2">
      <c r="B14" s="695" t="s">
        <v>343</v>
      </c>
      <c r="C14" s="695"/>
      <c r="D14" s="230" t="s">
        <v>237</v>
      </c>
      <c r="E14" s="230" t="s">
        <v>237</v>
      </c>
      <c r="F14" s="230">
        <v>0.24709999999999999</v>
      </c>
      <c r="G14" s="230" t="s">
        <v>237</v>
      </c>
      <c r="H14" s="236" t="s">
        <v>237</v>
      </c>
      <c r="I14" s="236" t="s">
        <v>237</v>
      </c>
      <c r="K14" s="634" t="s">
        <v>598</v>
      </c>
      <c r="L14" s="580"/>
      <c r="M14" s="580"/>
      <c r="N14" s="581"/>
    </row>
    <row r="15" spans="2:14" ht="41.25" customHeight="1" x14ac:dyDescent="0.2">
      <c r="B15" s="695" t="s">
        <v>293</v>
      </c>
      <c r="C15" s="695"/>
      <c r="D15" s="230">
        <f>(17.59%+15.18%)/2</f>
        <v>0.16385</v>
      </c>
      <c r="E15" s="230">
        <f>(17.62%+15.18%)/2</f>
        <v>0.16400000000000001</v>
      </c>
      <c r="F15" s="230">
        <v>0.15620000000000001</v>
      </c>
      <c r="G15" s="231">
        <f>(12.94%+8.94%)/2</f>
        <v>0.1094</v>
      </c>
      <c r="H15" s="236">
        <f>(15.34%+ 17.82%)/2</f>
        <v>0.1658</v>
      </c>
      <c r="I15" s="236">
        <v>0.29925000000000002</v>
      </c>
      <c r="K15" s="582"/>
      <c r="L15" s="583"/>
      <c r="M15" s="583"/>
      <c r="N15" s="584"/>
    </row>
    <row r="16" spans="2:14" ht="41.25" customHeight="1" x14ac:dyDescent="0.2">
      <c r="B16" s="695" t="s">
        <v>247</v>
      </c>
      <c r="C16" s="695"/>
      <c r="D16" s="230">
        <f>(17.11%+33.42%)/2</f>
        <v>0.25264999999999999</v>
      </c>
      <c r="E16" s="230">
        <f>(54.53%+33.42%)/2</f>
        <v>0.43974999999999997</v>
      </c>
      <c r="F16" s="230">
        <v>0.34250000000000003</v>
      </c>
      <c r="G16" s="231">
        <f>(29.96%+28.32%)/2</f>
        <v>0.29139999999999999</v>
      </c>
      <c r="H16" s="236">
        <f>(32.58%+ 32.18%)/2</f>
        <v>0.32379999999999998</v>
      </c>
      <c r="I16" s="236">
        <v>0.438</v>
      </c>
      <c r="K16" s="582"/>
      <c r="L16" s="583"/>
      <c r="M16" s="583"/>
      <c r="N16" s="584"/>
    </row>
    <row r="17" spans="2:14" ht="41.25" customHeight="1" x14ac:dyDescent="0.2">
      <c r="B17" s="695" t="s">
        <v>336</v>
      </c>
      <c r="C17" s="695"/>
      <c r="D17" s="230" t="s">
        <v>237</v>
      </c>
      <c r="E17" s="230" t="s">
        <v>237</v>
      </c>
      <c r="F17" s="230">
        <v>0.34460000000000002</v>
      </c>
      <c r="G17" s="231">
        <f>(31.75%+ 38%)/2</f>
        <v>0.34875</v>
      </c>
      <c r="H17" s="142">
        <f>(58.26%+ 45.76%)/2</f>
        <v>0.52010000000000001</v>
      </c>
      <c r="I17" s="142">
        <v>0.51749999999999996</v>
      </c>
      <c r="K17" s="582"/>
      <c r="L17" s="583"/>
      <c r="M17" s="583"/>
      <c r="N17" s="584"/>
    </row>
    <row r="18" spans="2:14" ht="41.25" customHeight="1" x14ac:dyDescent="0.2">
      <c r="B18" s="695" t="s">
        <v>337</v>
      </c>
      <c r="C18" s="695"/>
      <c r="D18" s="230" t="s">
        <v>237</v>
      </c>
      <c r="E18" s="230" t="s">
        <v>237</v>
      </c>
      <c r="F18" s="230">
        <v>0.3523</v>
      </c>
      <c r="G18" s="230">
        <f>(38.44%+46.34%)/2</f>
        <v>0.4239</v>
      </c>
      <c r="H18" s="142">
        <f>(50.48%+ 38.01%)/2</f>
        <v>0.44244999999999995</v>
      </c>
      <c r="I18" s="142">
        <v>0.55189999999999995</v>
      </c>
      <c r="K18" s="582"/>
      <c r="L18" s="583"/>
      <c r="M18" s="583"/>
      <c r="N18" s="584"/>
    </row>
    <row r="19" spans="2:14" ht="41.25" customHeight="1" x14ac:dyDescent="0.2">
      <c r="B19" s="695" t="s">
        <v>250</v>
      </c>
      <c r="C19" s="695"/>
      <c r="D19" s="230">
        <f>(12.92%+25.19%)/2</f>
        <v>0.19055</v>
      </c>
      <c r="E19" s="230">
        <f>(20.43%+25.19%)/2</f>
        <v>0.22810000000000002</v>
      </c>
      <c r="F19" s="230">
        <v>0.29139999999999999</v>
      </c>
      <c r="G19" s="231">
        <f>(20.45%+ 13.74%)/2</f>
        <v>0.17094999999999999</v>
      </c>
      <c r="H19" s="236">
        <f>(33.92%+ 24.85%)/2</f>
        <v>0.29385</v>
      </c>
      <c r="I19" s="236">
        <v>0.27894999999999998</v>
      </c>
      <c r="K19" s="582"/>
      <c r="L19" s="583"/>
      <c r="M19" s="583"/>
      <c r="N19" s="584"/>
    </row>
    <row r="20" spans="2:14" ht="41.25" customHeight="1" x14ac:dyDescent="0.2">
      <c r="B20" s="751" t="s">
        <v>350</v>
      </c>
      <c r="C20" s="756"/>
      <c r="D20" s="230" t="s">
        <v>237</v>
      </c>
      <c r="E20" s="230">
        <f>(26.15%+41.72%)/2</f>
        <v>0.33935000000000004</v>
      </c>
      <c r="F20" s="230">
        <v>0.4501</v>
      </c>
      <c r="G20" s="230">
        <f>(55.16%+ 40.1%)/2</f>
        <v>0.4763</v>
      </c>
      <c r="H20" s="142">
        <f>(50.27%+ 35.05%)/2</f>
        <v>0.42659999999999998</v>
      </c>
      <c r="I20" s="142">
        <v>0.43109999999999998</v>
      </c>
      <c r="K20" s="582"/>
      <c r="L20" s="583"/>
      <c r="M20" s="583"/>
      <c r="N20" s="584"/>
    </row>
    <row r="21" spans="2:14" ht="41.25" customHeight="1" x14ac:dyDescent="0.2">
      <c r="B21" s="695" t="s">
        <v>252</v>
      </c>
      <c r="C21" s="695"/>
      <c r="D21" s="230">
        <f>(15.84%+28%)/2</f>
        <v>0.21920000000000001</v>
      </c>
      <c r="E21" s="230">
        <f>(26.59%+28%)/2</f>
        <v>0.27295000000000003</v>
      </c>
      <c r="F21" s="230">
        <v>0.34210000000000002</v>
      </c>
      <c r="G21" s="231">
        <f>(19.13%+ 39.9%)/2</f>
        <v>0.29514999999999997</v>
      </c>
      <c r="H21" s="142">
        <f>(42.68%+ 36.68%)/2</f>
        <v>0.39680000000000004</v>
      </c>
      <c r="I21" s="142">
        <v>0.34470000000000001</v>
      </c>
      <c r="K21" s="582"/>
      <c r="L21" s="583"/>
      <c r="M21" s="583"/>
      <c r="N21" s="584"/>
    </row>
    <row r="22" spans="2:14" ht="41.25" customHeight="1" x14ac:dyDescent="0.2">
      <c r="B22" s="695" t="s">
        <v>253</v>
      </c>
      <c r="C22" s="695"/>
      <c r="D22" s="230">
        <f>(16.09%+20.82%)/2</f>
        <v>0.18454999999999999</v>
      </c>
      <c r="E22" s="230">
        <f>(25.24%+20.82%)/2</f>
        <v>0.23029999999999998</v>
      </c>
      <c r="F22" s="230">
        <v>0.29389999999999999</v>
      </c>
      <c r="G22" s="231">
        <f>(19.58%+ 21.1%)/2</f>
        <v>0.2034</v>
      </c>
      <c r="H22" s="236">
        <f>(17.99%+ 14.89%)/2</f>
        <v>0.16439999999999999</v>
      </c>
      <c r="I22" s="236">
        <v>0.27515000000000001</v>
      </c>
      <c r="K22" s="585"/>
      <c r="L22" s="586"/>
      <c r="M22" s="586"/>
      <c r="N22" s="587"/>
    </row>
    <row r="23" spans="2:14" ht="41.25" customHeight="1" x14ac:dyDescent="0.2">
      <c r="B23" s="695" t="s">
        <v>254</v>
      </c>
      <c r="C23" s="695"/>
      <c r="D23" s="230">
        <f>(15.24%+32.36%)/2</f>
        <v>0.23799999999999999</v>
      </c>
      <c r="E23" s="230">
        <f>(39.44%+32.36%)/2</f>
        <v>0.35899999999999999</v>
      </c>
      <c r="F23" s="230">
        <v>0.34329999999999999</v>
      </c>
      <c r="G23" s="231">
        <f>(22.82%+ 12.17%)/2</f>
        <v>0.17494999999999999</v>
      </c>
      <c r="H23" s="236">
        <f>(22.2%+ 15.33%)/2</f>
        <v>0.18764999999999998</v>
      </c>
      <c r="I23" s="236">
        <v>0.24049999999999999</v>
      </c>
      <c r="J23" s="30"/>
      <c r="K23" s="55"/>
      <c r="L23" s="55"/>
      <c r="M23" s="55"/>
      <c r="N23" s="55"/>
    </row>
    <row r="24" spans="2:14" ht="41.25" customHeight="1" x14ac:dyDescent="0.2">
      <c r="B24" s="695" t="s">
        <v>267</v>
      </c>
      <c r="C24" s="695"/>
      <c r="D24" s="230">
        <f>(10.14%+13.77%)/2</f>
        <v>0.11954999999999999</v>
      </c>
      <c r="E24" s="230">
        <f>(26.83%+29.41%)/2</f>
        <v>0.28120000000000001</v>
      </c>
      <c r="F24" s="230">
        <v>0.25969999999999999</v>
      </c>
      <c r="G24" s="230" t="s">
        <v>296</v>
      </c>
      <c r="H24" s="236">
        <f>(14.59%+ 0%)/2</f>
        <v>7.2950000000000001E-2</v>
      </c>
      <c r="I24" s="236">
        <v>0.1719</v>
      </c>
      <c r="J24" s="30"/>
      <c r="K24" s="55"/>
      <c r="L24" s="55"/>
      <c r="M24" s="55"/>
      <c r="N24" s="55"/>
    </row>
    <row r="25" spans="2:14" ht="41.25" customHeight="1" x14ac:dyDescent="0.2">
      <c r="B25" s="695" t="s">
        <v>298</v>
      </c>
      <c r="C25" s="695"/>
      <c r="D25" s="230">
        <f>(10%+7.25%)/2</f>
        <v>8.6249999999999993E-2</v>
      </c>
      <c r="E25" s="230">
        <f>(39.76%+44.62%)/2</f>
        <v>0.42189999999999994</v>
      </c>
      <c r="F25" s="230">
        <v>0.2586</v>
      </c>
      <c r="G25" s="231">
        <v>0.25419999999999998</v>
      </c>
      <c r="H25" s="236">
        <f>(15.13%+ 3.37%)/2</f>
        <v>9.2500000000000013E-2</v>
      </c>
      <c r="I25" s="236">
        <v>7.5999999999999998E-2</v>
      </c>
      <c r="J25" s="30"/>
      <c r="K25" s="55"/>
      <c r="L25" s="55"/>
      <c r="M25" s="55"/>
      <c r="N25" s="55"/>
    </row>
    <row r="26" spans="2:14" ht="41.25" customHeight="1" x14ac:dyDescent="0.2">
      <c r="B26" s="695" t="s">
        <v>281</v>
      </c>
      <c r="C26" s="695"/>
      <c r="D26" s="230">
        <f>(22.5%+41.38%)/2</f>
        <v>0.31940000000000002</v>
      </c>
      <c r="E26" s="230">
        <f>(48%+21.43%)/2</f>
        <v>0.34714999999999996</v>
      </c>
      <c r="F26" s="230">
        <v>0.5625</v>
      </c>
      <c r="G26" s="230">
        <f>(74.07%+ 75%)/2</f>
        <v>0.74534999999999996</v>
      </c>
      <c r="H26" s="236">
        <f>(12.5%+ 32.14%)/2</f>
        <v>0.22320000000000001</v>
      </c>
      <c r="I26" s="236">
        <v>0.38740000000000002</v>
      </c>
      <c r="J26" s="30"/>
      <c r="K26" s="55"/>
      <c r="L26" s="55"/>
      <c r="M26" s="55"/>
      <c r="N26" s="55"/>
    </row>
    <row r="27" spans="2:14" ht="41.25" customHeight="1" x14ac:dyDescent="0.2">
      <c r="B27" s="695" t="s">
        <v>270</v>
      </c>
      <c r="C27" s="695"/>
      <c r="D27" s="230">
        <f>(7.83%+7.22%)/2</f>
        <v>7.5249999999999997E-2</v>
      </c>
      <c r="E27" s="230">
        <f>(12.5%+11.11%)/2</f>
        <v>0.11804999999999999</v>
      </c>
      <c r="F27" s="230">
        <v>0.15529999999999999</v>
      </c>
      <c r="G27" s="231">
        <f>(20.11%+ 11.11%)/2</f>
        <v>0.15609999999999999</v>
      </c>
      <c r="H27" s="236">
        <f>(21.16%+ 0%)/2</f>
        <v>0.10580000000000001</v>
      </c>
      <c r="I27" s="236">
        <v>5.645E-2</v>
      </c>
      <c r="J27" s="30"/>
      <c r="K27" s="55"/>
      <c r="L27" s="55"/>
      <c r="M27" s="55"/>
      <c r="N27" s="55"/>
    </row>
    <row r="28" spans="2:14" ht="41.25" customHeight="1" x14ac:dyDescent="0.2">
      <c r="B28" s="695" t="s">
        <v>283</v>
      </c>
      <c r="C28" s="695"/>
      <c r="D28" s="230">
        <f>(9.09%+9.09%)/2</f>
        <v>9.0899999999999995E-2</v>
      </c>
      <c r="E28" s="230">
        <f>(34.78%+35.82%)/2</f>
        <v>0.35299999999999998</v>
      </c>
      <c r="F28" s="233">
        <v>0.4</v>
      </c>
      <c r="G28" s="42" t="s">
        <v>296</v>
      </c>
      <c r="H28" s="236">
        <f>(20%+ 33.3%)/2</f>
        <v>0.26649999999999996</v>
      </c>
      <c r="I28" s="236">
        <v>0.43940000000000001</v>
      </c>
      <c r="J28" s="30"/>
      <c r="K28" s="55"/>
      <c r="L28" s="55"/>
      <c r="M28" s="55"/>
      <c r="N28" s="55"/>
    </row>
    <row r="29" spans="2:14" ht="41.25" customHeight="1" x14ac:dyDescent="0.2">
      <c r="B29" s="695" t="s">
        <v>271</v>
      </c>
      <c r="C29" s="695"/>
      <c r="D29" s="230">
        <v>0.1</v>
      </c>
      <c r="E29" s="230">
        <f>(100%+30%)/2</f>
        <v>0.65</v>
      </c>
      <c r="F29" s="230">
        <v>0.92310000000000003</v>
      </c>
      <c r="G29" s="42" t="s">
        <v>296</v>
      </c>
      <c r="H29" s="236" t="s">
        <v>237</v>
      </c>
      <c r="I29" s="236">
        <v>0.20830000000000001</v>
      </c>
      <c r="J29" s="30"/>
      <c r="K29" s="55"/>
      <c r="L29" s="55"/>
      <c r="M29" s="55"/>
      <c r="N29" s="55"/>
    </row>
    <row r="30" spans="2:14" ht="41.25" customHeight="1" x14ac:dyDescent="0.2">
      <c r="B30" s="752" t="s">
        <v>285</v>
      </c>
      <c r="C30" s="752"/>
      <c r="D30" s="234">
        <f>(17.71%+14.16%)/2</f>
        <v>0.15934999999999999</v>
      </c>
      <c r="E30" s="234">
        <f>(38.62%+2.33%)/2</f>
        <v>0.20474999999999999</v>
      </c>
      <c r="F30" s="234">
        <v>0.1275</v>
      </c>
      <c r="G30" s="235">
        <v>2.3400000000000001E-2</v>
      </c>
      <c r="H30" s="236">
        <f>(9.92%+ 0%)/2</f>
        <v>4.9599999999999998E-2</v>
      </c>
      <c r="I30" s="236" t="s">
        <v>237</v>
      </c>
      <c r="J30" s="30"/>
      <c r="K30" s="55"/>
      <c r="L30" s="55"/>
      <c r="M30" s="55"/>
      <c r="N30" s="55"/>
    </row>
    <row r="31" spans="2:14" ht="22.5" customHeight="1" x14ac:dyDescent="0.2">
      <c r="B31" s="836">
        <f>D5</f>
        <v>0.4</v>
      </c>
      <c r="C31" s="836"/>
      <c r="D31" s="17">
        <f t="shared" ref="D31:I31" si="0">COUNTIF(D13:D30,"&gt;=40%")</f>
        <v>0</v>
      </c>
      <c r="E31" s="17">
        <f t="shared" si="0"/>
        <v>3</v>
      </c>
      <c r="F31" s="17">
        <f t="shared" si="0"/>
        <v>4</v>
      </c>
      <c r="G31" s="17">
        <f t="shared" si="0"/>
        <v>3</v>
      </c>
      <c r="H31" s="17">
        <f t="shared" si="0"/>
        <v>3</v>
      </c>
      <c r="I31" s="17">
        <f t="shared" si="0"/>
        <v>5</v>
      </c>
    </row>
    <row r="32" spans="2:14" ht="22.5" customHeight="1" x14ac:dyDescent="0.2">
      <c r="B32" s="689" t="s">
        <v>274</v>
      </c>
      <c r="C32" s="689"/>
      <c r="D32" s="17">
        <f t="shared" ref="D32:I32" si="1">COUNT(D13:D30)</f>
        <v>14</v>
      </c>
      <c r="E32" s="17">
        <f t="shared" si="1"/>
        <v>15</v>
      </c>
      <c r="F32" s="17">
        <f t="shared" si="1"/>
        <v>18</v>
      </c>
      <c r="G32" s="17">
        <f t="shared" si="1"/>
        <v>14</v>
      </c>
      <c r="H32" s="17">
        <f t="shared" si="1"/>
        <v>16</v>
      </c>
      <c r="I32" s="17">
        <f t="shared" si="1"/>
        <v>16</v>
      </c>
    </row>
    <row r="33" spans="2:10" ht="22.5" customHeight="1" x14ac:dyDescent="0.2">
      <c r="B33" s="685" t="s">
        <v>231</v>
      </c>
      <c r="C33" s="735"/>
      <c r="D33" s="77">
        <f>D$5</f>
        <v>0.4</v>
      </c>
      <c r="E33" s="77">
        <f>$D$5</f>
        <v>0.4</v>
      </c>
      <c r="F33" s="77">
        <f t="shared" ref="F33:I33" si="2">$D$5</f>
        <v>0.4</v>
      </c>
      <c r="G33" s="77">
        <f t="shared" si="2"/>
        <v>0.4</v>
      </c>
      <c r="H33" s="77">
        <f t="shared" si="2"/>
        <v>0.4</v>
      </c>
      <c r="I33" s="77">
        <f t="shared" si="2"/>
        <v>0.4</v>
      </c>
    </row>
    <row r="34" spans="2:10" ht="22.5" customHeight="1" x14ac:dyDescent="0.2">
      <c r="B34" s="685" t="s">
        <v>232</v>
      </c>
      <c r="C34" s="735"/>
      <c r="D34" s="48">
        <f t="shared" ref="D34:I34" si="3">D31/D32</f>
        <v>0</v>
      </c>
      <c r="E34" s="48">
        <f t="shared" si="3"/>
        <v>0.2</v>
      </c>
      <c r="F34" s="48">
        <f t="shared" si="3"/>
        <v>0.22222222222222221</v>
      </c>
      <c r="G34" s="48">
        <f t="shared" si="3"/>
        <v>0.21428571428571427</v>
      </c>
      <c r="H34" s="48">
        <f t="shared" si="3"/>
        <v>0.1875</v>
      </c>
      <c r="I34" s="48">
        <f t="shared" si="3"/>
        <v>0.3125</v>
      </c>
    </row>
    <row r="35" spans="2:10" ht="22.5" customHeight="1" x14ac:dyDescent="0.25">
      <c r="B35" s="7"/>
      <c r="C35" s="7"/>
      <c r="D35" s="6"/>
      <c r="E35" s="6"/>
      <c r="F35" s="6"/>
      <c r="G35" s="6"/>
      <c r="H35" s="6"/>
      <c r="I35" s="6"/>
      <c r="J35" s="6"/>
    </row>
    <row r="36" spans="2:10" ht="22.5" customHeight="1" x14ac:dyDescent="0.2">
      <c r="B36" s="647" t="s">
        <v>233</v>
      </c>
      <c r="C36" s="648"/>
      <c r="D36" s="648"/>
      <c r="E36" s="648"/>
      <c r="F36" s="648"/>
      <c r="G36" s="648"/>
      <c r="H36" s="648"/>
      <c r="I36" s="648"/>
      <c r="J36" s="13"/>
    </row>
    <row r="37" spans="2:10" ht="22.5" customHeight="1" x14ac:dyDescent="0.2">
      <c r="B37" s="8"/>
      <c r="C37" s="8"/>
      <c r="D37" s="8"/>
      <c r="E37" s="8"/>
      <c r="F37" s="8"/>
      <c r="G37" s="9"/>
      <c r="H37" s="9"/>
      <c r="I37" s="9"/>
      <c r="J37" s="9"/>
    </row>
    <row r="38" spans="2:10" ht="6" customHeight="1" x14ac:dyDescent="0.2">
      <c r="B38" s="8"/>
      <c r="C38" s="8"/>
      <c r="D38" s="8"/>
      <c r="E38" s="8"/>
      <c r="F38" s="8"/>
      <c r="G38" s="712" t="s">
        <v>172</v>
      </c>
      <c r="H38" s="684"/>
      <c r="I38" s="684"/>
      <c r="J38" s="684"/>
    </row>
    <row r="39" spans="2:10" ht="19.5" customHeight="1" x14ac:dyDescent="0.2">
      <c r="B39" s="8"/>
      <c r="C39" s="8"/>
      <c r="D39" s="8"/>
      <c r="E39" s="8"/>
      <c r="F39" s="8"/>
      <c r="G39" s="684"/>
      <c r="H39" s="583"/>
      <c r="I39" s="583"/>
      <c r="J39" s="684"/>
    </row>
    <row r="40" spans="2:10" ht="19.5" customHeight="1" x14ac:dyDescent="0.2">
      <c r="B40" s="8"/>
      <c r="C40" s="8"/>
      <c r="D40" s="8"/>
      <c r="E40" s="8"/>
      <c r="F40" s="8"/>
      <c r="G40" s="684"/>
      <c r="H40" s="583"/>
      <c r="I40" s="583"/>
      <c r="J40" s="684"/>
    </row>
    <row r="41" spans="2:10" ht="19.5" customHeight="1" x14ac:dyDescent="0.2">
      <c r="B41" s="8"/>
      <c r="C41" s="8"/>
      <c r="D41" s="8"/>
      <c r="E41" s="8"/>
      <c r="F41" s="8"/>
      <c r="G41" s="684"/>
      <c r="H41" s="583"/>
      <c r="I41" s="583"/>
      <c r="J41" s="684"/>
    </row>
    <row r="42" spans="2:10" ht="19.5" customHeight="1" x14ac:dyDescent="0.2">
      <c r="B42" s="8"/>
      <c r="C42" s="8"/>
      <c r="D42" s="8"/>
      <c r="E42" s="8"/>
      <c r="F42" s="8"/>
      <c r="G42" s="684"/>
      <c r="H42" s="583"/>
      <c r="I42" s="583"/>
      <c r="J42" s="684"/>
    </row>
    <row r="43" spans="2:10" ht="19.5" customHeight="1" x14ac:dyDescent="0.2">
      <c r="B43" s="8"/>
      <c r="C43" s="8"/>
      <c r="D43" s="8"/>
      <c r="E43" s="8"/>
      <c r="F43" s="8"/>
      <c r="G43" s="684"/>
      <c r="H43" s="583"/>
      <c r="I43" s="583"/>
      <c r="J43" s="684"/>
    </row>
    <row r="44" spans="2:10" ht="19.5" customHeight="1" x14ac:dyDescent="0.2">
      <c r="B44" s="8"/>
      <c r="C44" s="8"/>
      <c r="D44" s="8"/>
      <c r="E44" s="8"/>
      <c r="F44" s="8"/>
      <c r="G44" s="684"/>
      <c r="H44" s="583"/>
      <c r="I44" s="583"/>
      <c r="J44" s="684"/>
    </row>
    <row r="45" spans="2:10" ht="19.5" customHeight="1" x14ac:dyDescent="0.2">
      <c r="B45" s="8"/>
      <c r="C45" s="8"/>
      <c r="D45" s="8"/>
      <c r="E45" s="8"/>
      <c r="F45" s="8"/>
      <c r="G45" s="684"/>
      <c r="H45" s="583"/>
      <c r="I45" s="583"/>
      <c r="J45" s="684"/>
    </row>
    <row r="46" spans="2:10" ht="19.5" customHeight="1" x14ac:dyDescent="0.2">
      <c r="B46" s="8"/>
      <c r="C46" s="8"/>
      <c r="D46" s="8"/>
      <c r="E46" s="8"/>
      <c r="F46" s="8"/>
      <c r="G46" s="684"/>
      <c r="H46" s="684"/>
      <c r="I46" s="684"/>
      <c r="J46" s="684"/>
    </row>
    <row r="47" spans="2:10" ht="19.5" customHeight="1" x14ac:dyDescent="0.2"/>
    <row r="48" spans="2:10" ht="19.5" customHeight="1" x14ac:dyDescent="0.2">
      <c r="H48" s="588" t="s">
        <v>172</v>
      </c>
      <c r="I48" s="589"/>
      <c r="J48" s="589"/>
    </row>
  </sheetData>
  <sheetProtection sheet="1" formatCells="0" formatColumns="0" formatRows="0" insertColumns="0" insertRows="0" insertHyperlinks="0" deleteColumns="0" deleteRows="0" pivotTables="0"/>
  <mergeCells count="43">
    <mergeCell ref="B2:D2"/>
    <mergeCell ref="E2:J2"/>
    <mergeCell ref="B4:C4"/>
    <mergeCell ref="D4:E4"/>
    <mergeCell ref="F4:G4"/>
    <mergeCell ref="H4:J4"/>
    <mergeCell ref="B15:C15"/>
    <mergeCell ref="B16:C16"/>
    <mergeCell ref="B5:C5"/>
    <mergeCell ref="D5:E5"/>
    <mergeCell ref="F5:G5"/>
    <mergeCell ref="B7:C7"/>
    <mergeCell ref="D7:J7"/>
    <mergeCell ref="B9:J9"/>
    <mergeCell ref="B13:C13"/>
    <mergeCell ref="B14:C14"/>
    <mergeCell ref="H5:J5"/>
    <mergeCell ref="B6:C6"/>
    <mergeCell ref="D6:E6"/>
    <mergeCell ref="F6:G6"/>
    <mergeCell ref="K12:N12"/>
    <mergeCell ref="K14:N22"/>
    <mergeCell ref="B30:C30"/>
    <mergeCell ref="B18:C18"/>
    <mergeCell ref="B19:C19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20:C20"/>
    <mergeCell ref="B17:C17"/>
    <mergeCell ref="G38:J46"/>
    <mergeCell ref="H48:J48"/>
    <mergeCell ref="B31:C31"/>
    <mergeCell ref="B32:C32"/>
    <mergeCell ref="B33:C33"/>
    <mergeCell ref="B34:C34"/>
    <mergeCell ref="B36:I36"/>
  </mergeCells>
  <conditionalFormatting sqref="D13:I30">
    <cfRule type="cellIs" dxfId="7" priority="1" operator="between">
      <formula>0</formula>
      <formula>0.36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7972D-15A7-46D8-9EB3-CB2F4D4A3307}">
  <sheetPr>
    <tabColor theme="9" tint="-0.499984740745262"/>
    <pageSetUpPr fitToPage="1"/>
  </sheetPr>
  <dimension ref="B2:Q48"/>
  <sheetViews>
    <sheetView showGridLines="0" topLeftCell="A47" workbookViewId="0">
      <selection activeCell="G62" sqref="G62"/>
    </sheetView>
  </sheetViews>
  <sheetFormatPr defaultColWidth="12.5703125" defaultRowHeight="15.75" customHeight="1" x14ac:dyDescent="0.2"/>
  <cols>
    <col min="1" max="1" width="3.42578125" customWidth="1"/>
    <col min="2" max="2" width="14.140625" customWidth="1"/>
    <col min="3" max="3" width="12.5703125" customWidth="1"/>
    <col min="4" max="4" width="25" bestFit="1" customWidth="1"/>
    <col min="5" max="9" width="12.5703125" customWidth="1"/>
    <col min="10" max="10" width="36.28515625" customWidth="1"/>
    <col min="11" max="20" width="7.5703125" customWidth="1"/>
  </cols>
  <sheetData>
    <row r="2" spans="2:10" ht="55.5" customHeight="1" x14ac:dyDescent="0.2">
      <c r="B2" s="670"/>
      <c r="C2" s="671"/>
      <c r="D2" s="672"/>
      <c r="E2" s="673" t="s">
        <v>213</v>
      </c>
      <c r="F2" s="671"/>
      <c r="G2" s="671"/>
      <c r="H2" s="671"/>
      <c r="I2" s="671"/>
      <c r="J2" s="672"/>
    </row>
    <row r="3" spans="2:10" ht="22.5" customHeight="1" x14ac:dyDescent="0.2">
      <c r="B3" s="46"/>
      <c r="C3" s="46"/>
      <c r="D3" s="47"/>
      <c r="E3" s="47"/>
      <c r="F3" s="47"/>
      <c r="G3" s="47"/>
      <c r="H3" s="47"/>
      <c r="I3" s="47"/>
    </row>
    <row r="4" spans="2:10" ht="42" customHeight="1" x14ac:dyDescent="0.2">
      <c r="B4" s="594" t="s">
        <v>214</v>
      </c>
      <c r="C4" s="596"/>
      <c r="D4" s="674" t="str">
        <f>Índex!B73</f>
        <v xml:space="preserve"> PS5.04_Ind03. </v>
      </c>
      <c r="E4" s="672"/>
      <c r="F4" s="594" t="s">
        <v>215</v>
      </c>
      <c r="G4" s="596"/>
      <c r="H4" s="674" t="str">
        <f>Índex!C73</f>
        <v>Valoració mitjana per titulació de l’afirmació “Estic satisfet/a amb la titulació” a les enquestes de satisfacció de la UAB.</v>
      </c>
      <c r="I4" s="671"/>
      <c r="J4" s="672"/>
    </row>
    <row r="5" spans="2:10" ht="22.5" customHeight="1" x14ac:dyDescent="0.2">
      <c r="B5" s="594" t="s">
        <v>323</v>
      </c>
      <c r="C5" s="596"/>
      <c r="D5" s="674">
        <f>Índex!F73</f>
        <v>3.5</v>
      </c>
      <c r="E5" s="672"/>
      <c r="F5" s="732" t="s">
        <v>217</v>
      </c>
      <c r="G5" s="596"/>
      <c r="H5" s="775" t="s">
        <v>594</v>
      </c>
      <c r="I5" s="671"/>
      <c r="J5" s="636"/>
    </row>
    <row r="6" spans="2:10" ht="22.5" customHeight="1" x14ac:dyDescent="0.2">
      <c r="B6" s="594" t="s">
        <v>219</v>
      </c>
      <c r="C6" s="596"/>
      <c r="D6" s="674" t="s">
        <v>220</v>
      </c>
      <c r="E6" s="672"/>
      <c r="F6" s="594" t="s">
        <v>242</v>
      </c>
      <c r="G6" s="596"/>
      <c r="H6" s="12" t="str">
        <f>Índex!E73</f>
        <v>Gestora de Qualitat</v>
      </c>
      <c r="J6" s="108"/>
    </row>
    <row r="7" spans="2:10" ht="22.5" customHeight="1" x14ac:dyDescent="0.2">
      <c r="B7" s="594" t="s">
        <v>222</v>
      </c>
      <c r="C7" s="596"/>
      <c r="D7" s="674" t="str">
        <f>Índex!G73</f>
        <v>PS5.04. Satisfacció dels Grups d’Interès</v>
      </c>
      <c r="E7" s="671"/>
      <c r="F7" s="671"/>
      <c r="G7" s="671"/>
      <c r="H7" s="671"/>
      <c r="I7" s="671"/>
      <c r="J7" s="642"/>
    </row>
    <row r="8" spans="2:10" ht="7.5" customHeight="1" x14ac:dyDescent="0.2"/>
    <row r="9" spans="2:10" ht="22.5" customHeight="1" x14ac:dyDescent="0.2">
      <c r="B9" s="594" t="s">
        <v>223</v>
      </c>
      <c r="C9" s="595"/>
      <c r="D9" s="595"/>
      <c r="E9" s="595"/>
      <c r="F9" s="595"/>
      <c r="G9" s="595"/>
      <c r="H9" s="595"/>
      <c r="I9" s="595"/>
      <c r="J9" s="596"/>
    </row>
    <row r="10" spans="2:10" ht="22.5" customHeight="1" x14ac:dyDescent="0.2">
      <c r="B10" s="33" t="s">
        <v>172</v>
      </c>
      <c r="C10" s="13"/>
      <c r="D10" s="13"/>
      <c r="E10" s="13"/>
      <c r="F10" s="13"/>
      <c r="G10" s="13"/>
      <c r="H10" s="13"/>
      <c r="I10" s="13"/>
      <c r="J10" s="13"/>
    </row>
    <row r="11" spans="2:10" ht="22.5" customHeight="1" x14ac:dyDescent="0.2"/>
    <row r="12" spans="2:10" ht="22.5" customHeight="1" thickBot="1" x14ac:dyDescent="0.25">
      <c r="B12" s="16"/>
      <c r="C12" s="16"/>
      <c r="D12" s="110" t="s">
        <v>224</v>
      </c>
      <c r="E12" s="110" t="s">
        <v>225</v>
      </c>
      <c r="F12" s="110" t="s">
        <v>226</v>
      </c>
      <c r="G12" s="110" t="s">
        <v>227</v>
      </c>
      <c r="H12" s="110" t="s">
        <v>228</v>
      </c>
      <c r="I12" s="110" t="s">
        <v>229</v>
      </c>
    </row>
    <row r="13" spans="2:10" ht="41.25" customHeight="1" thickBot="1" x14ac:dyDescent="0.25">
      <c r="B13" s="695" t="s">
        <v>244</v>
      </c>
      <c r="C13" s="695"/>
      <c r="D13" s="31">
        <v>4.18</v>
      </c>
      <c r="E13" s="31" t="s">
        <v>237</v>
      </c>
      <c r="F13" s="31">
        <v>3.75</v>
      </c>
      <c r="G13" s="65">
        <v>4.2</v>
      </c>
      <c r="H13" s="31">
        <v>3.69</v>
      </c>
      <c r="I13" s="207" t="s">
        <v>260</v>
      </c>
      <c r="J13" s="126"/>
    </row>
    <row r="14" spans="2:10" ht="41.25" customHeight="1" thickBot="1" x14ac:dyDescent="0.25">
      <c r="B14" s="695" t="s">
        <v>343</v>
      </c>
      <c r="C14" s="695"/>
      <c r="D14" s="31" t="s">
        <v>237</v>
      </c>
      <c r="E14" s="31" t="s">
        <v>237</v>
      </c>
      <c r="F14" s="31">
        <v>3.8</v>
      </c>
      <c r="G14" s="65">
        <v>3</v>
      </c>
      <c r="H14" s="31">
        <v>4</v>
      </c>
      <c r="I14" s="170" t="s">
        <v>260</v>
      </c>
      <c r="J14" s="126"/>
    </row>
    <row r="15" spans="2:10" ht="41.25" customHeight="1" thickBot="1" x14ac:dyDescent="0.25">
      <c r="B15" s="695" t="s">
        <v>293</v>
      </c>
      <c r="C15" s="695"/>
      <c r="D15" s="31" t="s">
        <v>237</v>
      </c>
      <c r="E15" s="31">
        <v>4.2</v>
      </c>
      <c r="F15" s="31">
        <v>4.4000000000000004</v>
      </c>
      <c r="G15" s="65">
        <v>3.5</v>
      </c>
      <c r="H15" s="31">
        <v>4.33</v>
      </c>
      <c r="I15" s="170" t="s">
        <v>260</v>
      </c>
      <c r="J15" s="126"/>
    </row>
    <row r="16" spans="2:10" ht="41.25" customHeight="1" thickBot="1" x14ac:dyDescent="0.25">
      <c r="B16" s="695" t="s">
        <v>247</v>
      </c>
      <c r="C16" s="695"/>
      <c r="D16" s="31">
        <v>3.44</v>
      </c>
      <c r="E16" s="31">
        <v>3.48</v>
      </c>
      <c r="F16" s="31">
        <v>3.77</v>
      </c>
      <c r="G16" s="65">
        <v>3.33</v>
      </c>
      <c r="H16" s="31">
        <v>4.05</v>
      </c>
      <c r="I16" s="170" t="s">
        <v>260</v>
      </c>
      <c r="J16" s="126"/>
    </row>
    <row r="17" spans="2:9" ht="41.25" customHeight="1" thickBot="1" x14ac:dyDescent="0.25">
      <c r="B17" s="695" t="s">
        <v>336</v>
      </c>
      <c r="C17" s="695"/>
      <c r="D17" s="31" t="s">
        <v>237</v>
      </c>
      <c r="E17" s="31" t="s">
        <v>237</v>
      </c>
      <c r="F17" s="31" t="s">
        <v>237</v>
      </c>
      <c r="G17" s="65">
        <v>4</v>
      </c>
      <c r="H17" s="31">
        <v>4</v>
      </c>
      <c r="I17" s="170" t="s">
        <v>260</v>
      </c>
    </row>
    <row r="18" spans="2:9" ht="41.25" customHeight="1" thickBot="1" x14ac:dyDescent="0.25">
      <c r="B18" s="695" t="s">
        <v>337</v>
      </c>
      <c r="C18" s="695"/>
      <c r="D18" s="31">
        <v>3</v>
      </c>
      <c r="E18" s="31">
        <v>4.1399999999999997</v>
      </c>
      <c r="F18" s="31" t="s">
        <v>237</v>
      </c>
      <c r="G18" s="65">
        <v>3.75</v>
      </c>
      <c r="H18" s="31">
        <v>4.25</v>
      </c>
      <c r="I18" s="170" t="s">
        <v>260</v>
      </c>
    </row>
    <row r="19" spans="2:9" ht="41.25" customHeight="1" thickBot="1" x14ac:dyDescent="0.25">
      <c r="B19" s="695" t="s">
        <v>250</v>
      </c>
      <c r="C19" s="695"/>
      <c r="D19" s="31">
        <v>4</v>
      </c>
      <c r="E19" s="31" t="s">
        <v>237</v>
      </c>
      <c r="F19" s="31" t="s">
        <v>237</v>
      </c>
      <c r="G19" s="65" t="s">
        <v>237</v>
      </c>
      <c r="H19" s="31">
        <v>4.1399999999999997</v>
      </c>
      <c r="I19" s="170" t="s">
        <v>260</v>
      </c>
    </row>
    <row r="20" spans="2:9" ht="41.25" customHeight="1" thickBot="1" x14ac:dyDescent="0.35">
      <c r="B20" s="882" t="s">
        <v>251</v>
      </c>
      <c r="C20" s="883"/>
      <c r="D20" s="31" t="s">
        <v>237</v>
      </c>
      <c r="E20" s="31" t="s">
        <v>237</v>
      </c>
      <c r="F20" s="31" t="s">
        <v>237</v>
      </c>
      <c r="G20" s="65" t="s">
        <v>237</v>
      </c>
      <c r="H20" s="31">
        <v>4.8600000000000003</v>
      </c>
      <c r="I20" s="170" t="s">
        <v>260</v>
      </c>
    </row>
    <row r="21" spans="2:9" ht="41.25" customHeight="1" thickBot="1" x14ac:dyDescent="0.25">
      <c r="B21" s="695" t="s">
        <v>252</v>
      </c>
      <c r="C21" s="695"/>
      <c r="D21" s="31">
        <v>4.5999999999999996</v>
      </c>
      <c r="E21" s="31">
        <v>3.93</v>
      </c>
      <c r="F21" s="31">
        <v>3.64</v>
      </c>
      <c r="G21" s="65">
        <v>3.2</v>
      </c>
      <c r="H21" s="31">
        <v>4.3</v>
      </c>
      <c r="I21" s="170" t="s">
        <v>260</v>
      </c>
    </row>
    <row r="22" spans="2:9" ht="41.25" customHeight="1" thickBot="1" x14ac:dyDescent="0.25">
      <c r="B22" s="695" t="s">
        <v>253</v>
      </c>
      <c r="C22" s="695"/>
      <c r="D22" s="31">
        <v>3.82</v>
      </c>
      <c r="E22" s="31">
        <v>3.67</v>
      </c>
      <c r="F22" s="31">
        <v>4.07</v>
      </c>
      <c r="G22" s="65">
        <v>3</v>
      </c>
      <c r="H22" s="31">
        <v>4.18</v>
      </c>
      <c r="I22" s="170" t="s">
        <v>260</v>
      </c>
    </row>
    <row r="23" spans="2:9" ht="41.25" customHeight="1" thickBot="1" x14ac:dyDescent="0.25">
      <c r="B23" s="695" t="s">
        <v>254</v>
      </c>
      <c r="C23" s="695"/>
      <c r="D23" s="31">
        <v>3.58</v>
      </c>
      <c r="E23" s="31">
        <v>3.74</v>
      </c>
      <c r="F23" s="31">
        <v>3.17</v>
      </c>
      <c r="G23" s="65">
        <v>4.75</v>
      </c>
      <c r="H23" s="31">
        <v>3.79</v>
      </c>
      <c r="I23" s="170" t="s">
        <v>260</v>
      </c>
    </row>
    <row r="24" spans="2:9" ht="41.25" customHeight="1" thickBot="1" x14ac:dyDescent="0.25">
      <c r="B24" s="752" t="s">
        <v>267</v>
      </c>
      <c r="C24" s="752"/>
      <c r="D24" s="81" t="s">
        <v>317</v>
      </c>
      <c r="E24" s="81" t="s">
        <v>317</v>
      </c>
      <c r="F24" s="81">
        <v>3.33</v>
      </c>
      <c r="G24" s="237" t="s">
        <v>237</v>
      </c>
      <c r="H24" s="31">
        <v>3.72</v>
      </c>
      <c r="I24" s="201" t="s">
        <v>260</v>
      </c>
    </row>
    <row r="25" spans="2:9" ht="41.25" customHeight="1" thickBot="1" x14ac:dyDescent="0.25">
      <c r="B25" s="695" t="s">
        <v>298</v>
      </c>
      <c r="C25" s="695"/>
      <c r="D25" s="31" t="s">
        <v>317</v>
      </c>
      <c r="E25" s="31" t="s">
        <v>317</v>
      </c>
      <c r="F25" s="31" t="s">
        <v>237</v>
      </c>
      <c r="G25" s="65" t="s">
        <v>237</v>
      </c>
      <c r="H25" s="31">
        <v>3.63</v>
      </c>
      <c r="I25" s="207" t="s">
        <v>260</v>
      </c>
    </row>
    <row r="26" spans="2:9" ht="41.25" customHeight="1" thickBot="1" x14ac:dyDescent="0.25">
      <c r="B26" s="695" t="s">
        <v>281</v>
      </c>
      <c r="C26" s="695"/>
      <c r="D26" s="31" t="s">
        <v>317</v>
      </c>
      <c r="E26" s="31" t="s">
        <v>317</v>
      </c>
      <c r="F26" s="31">
        <v>4.22</v>
      </c>
      <c r="G26" s="65" t="s">
        <v>237</v>
      </c>
      <c r="H26" s="31">
        <v>4.18</v>
      </c>
      <c r="I26" s="170" t="s">
        <v>260</v>
      </c>
    </row>
    <row r="27" spans="2:9" ht="41.25" customHeight="1" thickBot="1" x14ac:dyDescent="0.25">
      <c r="B27" s="695" t="s">
        <v>270</v>
      </c>
      <c r="C27" s="695"/>
      <c r="D27" s="31" t="s">
        <v>317</v>
      </c>
      <c r="E27" s="31" t="s">
        <v>317</v>
      </c>
      <c r="F27" s="31" t="s">
        <v>237</v>
      </c>
      <c r="G27" s="65">
        <v>1.5</v>
      </c>
      <c r="H27" s="31">
        <v>3.38</v>
      </c>
      <c r="I27" s="504" t="s">
        <v>260</v>
      </c>
    </row>
    <row r="28" spans="2:9" ht="41.25" customHeight="1" thickBot="1" x14ac:dyDescent="0.25">
      <c r="B28" s="695" t="s">
        <v>283</v>
      </c>
      <c r="C28" s="695"/>
      <c r="D28" s="31" t="s">
        <v>317</v>
      </c>
      <c r="E28" s="31" t="s">
        <v>317</v>
      </c>
      <c r="F28" s="31" t="s">
        <v>237</v>
      </c>
      <c r="G28" s="65">
        <v>2</v>
      </c>
      <c r="H28" s="31">
        <v>4.1100000000000003</v>
      </c>
      <c r="I28" s="170" t="s">
        <v>260</v>
      </c>
    </row>
    <row r="29" spans="2:9" ht="41.25" customHeight="1" thickBot="1" x14ac:dyDescent="0.25">
      <c r="B29" s="695" t="s">
        <v>271</v>
      </c>
      <c r="C29" s="695"/>
      <c r="D29" s="31" t="s">
        <v>317</v>
      </c>
      <c r="E29" s="31" t="s">
        <v>317</v>
      </c>
      <c r="F29" s="31" t="s">
        <v>237</v>
      </c>
      <c r="G29" s="65" t="s">
        <v>237</v>
      </c>
      <c r="H29" s="31" t="s">
        <v>237</v>
      </c>
      <c r="I29" s="170" t="s">
        <v>260</v>
      </c>
    </row>
    <row r="30" spans="2:9" ht="41.25" customHeight="1" thickBot="1" x14ac:dyDescent="0.25">
      <c r="B30" s="695" t="s">
        <v>285</v>
      </c>
      <c r="C30" s="695"/>
      <c r="D30" s="31" t="s">
        <v>317</v>
      </c>
      <c r="E30" s="31" t="s">
        <v>317</v>
      </c>
      <c r="F30" s="31" t="s">
        <v>237</v>
      </c>
      <c r="G30" s="65">
        <v>3</v>
      </c>
      <c r="H30" s="31">
        <v>3.71</v>
      </c>
      <c r="I30" s="170" t="s">
        <v>260</v>
      </c>
    </row>
    <row r="31" spans="2:9" ht="22.5" customHeight="1" x14ac:dyDescent="0.2">
      <c r="B31" s="816">
        <f>D5</f>
        <v>3.5</v>
      </c>
      <c r="C31" s="816"/>
      <c r="D31" s="34">
        <f t="shared" ref="D31:I31" si="0">COUNTIF(D13:D30,"&gt;=3,5")</f>
        <v>5</v>
      </c>
      <c r="E31" s="34">
        <f t="shared" si="0"/>
        <v>5</v>
      </c>
      <c r="F31" s="34">
        <f t="shared" si="0"/>
        <v>7</v>
      </c>
      <c r="G31" s="238">
        <f t="shared" si="0"/>
        <v>5</v>
      </c>
      <c r="H31" s="34">
        <f t="shared" si="0"/>
        <v>16</v>
      </c>
      <c r="I31" s="34">
        <f t="shared" si="0"/>
        <v>0</v>
      </c>
    </row>
    <row r="32" spans="2:9" ht="22.5" customHeight="1" x14ac:dyDescent="0.2">
      <c r="B32" s="689" t="s">
        <v>274</v>
      </c>
      <c r="C32" s="689"/>
      <c r="D32" s="17">
        <f t="shared" ref="D32:I32" si="1">COUNT(D13:D30)</f>
        <v>7</v>
      </c>
      <c r="E32" s="17">
        <f t="shared" si="1"/>
        <v>6</v>
      </c>
      <c r="F32" s="17">
        <f t="shared" si="1"/>
        <v>9</v>
      </c>
      <c r="G32" s="17">
        <f t="shared" si="1"/>
        <v>12</v>
      </c>
      <c r="H32" s="17">
        <f t="shared" si="1"/>
        <v>17</v>
      </c>
      <c r="I32" s="17">
        <f t="shared" si="1"/>
        <v>0</v>
      </c>
    </row>
    <row r="33" spans="2:17" ht="22.5" customHeight="1" x14ac:dyDescent="0.2">
      <c r="B33" s="685" t="s">
        <v>231</v>
      </c>
      <c r="C33" s="735"/>
      <c r="D33" s="74">
        <f>$D5</f>
        <v>3.5</v>
      </c>
      <c r="E33" s="74">
        <f t="shared" ref="E33:H33" si="2">$D5</f>
        <v>3.5</v>
      </c>
      <c r="F33" s="74">
        <f t="shared" si="2"/>
        <v>3.5</v>
      </c>
      <c r="G33" s="74">
        <f t="shared" si="2"/>
        <v>3.5</v>
      </c>
      <c r="H33" s="74">
        <f t="shared" si="2"/>
        <v>3.5</v>
      </c>
      <c r="I33" s="74">
        <f t="shared" ref="I33" si="3">$D5</f>
        <v>3.5</v>
      </c>
      <c r="N33" s="70" t="s">
        <v>234</v>
      </c>
      <c r="O33" s="147"/>
      <c r="P33" s="147"/>
      <c r="Q33" s="146"/>
    </row>
    <row r="34" spans="2:17" ht="22.5" customHeight="1" x14ac:dyDescent="0.2">
      <c r="B34" s="685" t="s">
        <v>232</v>
      </c>
      <c r="C34" s="735"/>
      <c r="D34" s="48">
        <f t="shared" ref="D34:I34" si="4">D31/D32</f>
        <v>0.7142857142857143</v>
      </c>
      <c r="E34" s="48">
        <f t="shared" si="4"/>
        <v>0.83333333333333337</v>
      </c>
      <c r="F34" s="48">
        <f t="shared" si="4"/>
        <v>0.77777777777777779</v>
      </c>
      <c r="G34" s="48">
        <f t="shared" si="4"/>
        <v>0.41666666666666669</v>
      </c>
      <c r="H34" s="48">
        <f t="shared" si="4"/>
        <v>0.94117647058823528</v>
      </c>
      <c r="I34" s="48" t="e">
        <f t="shared" si="4"/>
        <v>#DIV/0!</v>
      </c>
      <c r="N34" s="9"/>
      <c r="O34" s="9"/>
      <c r="P34" s="9"/>
      <c r="Q34" s="9"/>
    </row>
    <row r="35" spans="2:17" ht="22.5" customHeight="1" x14ac:dyDescent="0.25">
      <c r="B35" s="7"/>
      <c r="C35" s="7"/>
      <c r="D35" s="6"/>
      <c r="E35" s="6"/>
      <c r="F35" s="6"/>
      <c r="G35" s="6"/>
      <c r="H35" s="6"/>
      <c r="I35" s="6"/>
      <c r="N35" s="759" t="s">
        <v>599</v>
      </c>
      <c r="O35" s="760"/>
      <c r="P35" s="760"/>
      <c r="Q35" s="761"/>
    </row>
    <row r="36" spans="2:17" ht="22.5" customHeight="1" x14ac:dyDescent="0.2">
      <c r="B36" s="594" t="s">
        <v>233</v>
      </c>
      <c r="C36" s="595"/>
      <c r="D36" s="595"/>
      <c r="E36" s="596"/>
      <c r="F36" s="8"/>
      <c r="N36" s="762"/>
      <c r="O36" s="763"/>
      <c r="P36" s="763"/>
      <c r="Q36" s="764"/>
    </row>
    <row r="37" spans="2:17" ht="22.5" customHeight="1" x14ac:dyDescent="0.2">
      <c r="B37" s="8"/>
      <c r="C37" s="8"/>
      <c r="D37" s="8"/>
      <c r="E37" s="8"/>
      <c r="F37" s="8"/>
      <c r="N37" s="762"/>
      <c r="O37" s="763"/>
      <c r="P37" s="763"/>
      <c r="Q37" s="764"/>
    </row>
    <row r="38" spans="2:17" ht="6" customHeight="1" x14ac:dyDescent="0.2">
      <c r="B38" s="8"/>
      <c r="C38" s="8"/>
      <c r="D38" s="8"/>
      <c r="E38" s="8"/>
      <c r="F38" s="8"/>
      <c r="N38" s="762"/>
      <c r="O38" s="763"/>
      <c r="P38" s="763"/>
      <c r="Q38" s="764"/>
    </row>
    <row r="39" spans="2:17" ht="19.5" customHeight="1" x14ac:dyDescent="0.2">
      <c r="B39" s="8"/>
      <c r="C39" s="8"/>
      <c r="D39" s="8"/>
      <c r="E39" s="8"/>
      <c r="F39" s="8"/>
      <c r="N39" s="762"/>
      <c r="O39" s="763"/>
      <c r="P39" s="763"/>
      <c r="Q39" s="764"/>
    </row>
    <row r="40" spans="2:17" ht="19.5" customHeight="1" x14ac:dyDescent="0.2">
      <c r="B40" s="8"/>
      <c r="C40" s="8"/>
      <c r="D40" s="8"/>
      <c r="E40" s="8"/>
      <c r="F40" s="8"/>
      <c r="N40" s="762"/>
      <c r="O40" s="763"/>
      <c r="P40" s="763"/>
      <c r="Q40" s="764"/>
    </row>
    <row r="41" spans="2:17" ht="19.5" customHeight="1" x14ac:dyDescent="0.2">
      <c r="B41" s="8"/>
      <c r="C41" s="8"/>
      <c r="D41" s="8"/>
      <c r="E41" s="8"/>
      <c r="F41" s="8"/>
      <c r="N41" s="762"/>
      <c r="O41" s="763"/>
      <c r="P41" s="763"/>
      <c r="Q41" s="764"/>
    </row>
    <row r="42" spans="2:17" ht="19.5" customHeight="1" x14ac:dyDescent="0.2">
      <c r="B42" s="8"/>
      <c r="C42" s="8"/>
      <c r="D42" s="8"/>
      <c r="E42" s="8"/>
      <c r="F42" s="8"/>
      <c r="N42" s="762"/>
      <c r="O42" s="763"/>
      <c r="P42" s="763"/>
      <c r="Q42" s="764"/>
    </row>
    <row r="43" spans="2:17" ht="19.5" customHeight="1" x14ac:dyDescent="0.2">
      <c r="B43" s="8"/>
      <c r="C43" s="8"/>
      <c r="D43" s="8"/>
      <c r="E43" s="8"/>
      <c r="F43" s="8"/>
      <c r="N43" s="810"/>
      <c r="O43" s="811"/>
      <c r="P43" s="811"/>
      <c r="Q43" s="812"/>
    </row>
    <row r="44" spans="2:17" ht="19.5" customHeight="1" x14ac:dyDescent="0.2">
      <c r="B44" s="8"/>
      <c r="C44" s="8"/>
      <c r="D44" s="8"/>
      <c r="E44" s="8"/>
      <c r="F44" s="8"/>
    </row>
    <row r="45" spans="2:17" ht="19.5" customHeight="1" x14ac:dyDescent="0.2">
      <c r="B45" s="8"/>
      <c r="C45" s="8"/>
      <c r="D45" s="8"/>
      <c r="E45" s="8"/>
      <c r="F45" s="8"/>
    </row>
    <row r="46" spans="2:17" ht="19.5" customHeight="1" x14ac:dyDescent="0.2">
      <c r="B46" s="8"/>
      <c r="C46" s="8"/>
      <c r="D46" s="8"/>
      <c r="E46" s="8"/>
      <c r="F46" s="8"/>
    </row>
    <row r="47" spans="2:17" ht="19.5" customHeight="1" x14ac:dyDescent="0.2"/>
    <row r="48" spans="2:17" ht="19.5" customHeight="1" x14ac:dyDescent="0.2">
      <c r="H48" s="588" t="s">
        <v>172</v>
      </c>
      <c r="I48" s="589"/>
      <c r="J48" s="589"/>
    </row>
  </sheetData>
  <sheetProtection sheet="1" formatCells="0" formatColumns="0" formatRows="0" insertColumns="0" insertRows="0" insertHyperlinks="0" deleteColumns="0" deleteRows="0" pivotTables="0"/>
  <mergeCells count="41">
    <mergeCell ref="B2:D2"/>
    <mergeCell ref="E2:J2"/>
    <mergeCell ref="B4:C4"/>
    <mergeCell ref="D4:E4"/>
    <mergeCell ref="F4:G4"/>
    <mergeCell ref="H4:J4"/>
    <mergeCell ref="B5:C5"/>
    <mergeCell ref="D5:E5"/>
    <mergeCell ref="F5:G5"/>
    <mergeCell ref="H5:J5"/>
    <mergeCell ref="B6:C6"/>
    <mergeCell ref="D6:E6"/>
    <mergeCell ref="F6:G6"/>
    <mergeCell ref="B17:C17"/>
    <mergeCell ref="B7:C7"/>
    <mergeCell ref="D7:J7"/>
    <mergeCell ref="B9:J9"/>
    <mergeCell ref="B13:C13"/>
    <mergeCell ref="B14:C14"/>
    <mergeCell ref="B15:C15"/>
    <mergeCell ref="B16:C16"/>
    <mergeCell ref="B30:C30"/>
    <mergeCell ref="B18:C18"/>
    <mergeCell ref="B19:C19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20:C20"/>
    <mergeCell ref="N35:Q43"/>
    <mergeCell ref="H48:J48"/>
    <mergeCell ref="B31:C31"/>
    <mergeCell ref="B32:C32"/>
    <mergeCell ref="B33:C33"/>
    <mergeCell ref="B34:C34"/>
    <mergeCell ref="B36:E36"/>
  </mergeCells>
  <conditionalFormatting sqref="D13:H30">
    <cfRule type="cellIs" dxfId="6" priority="1" operator="lessThan">
      <formula>3.5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7300B-A1B3-4370-B549-94DEBA72ECB8}">
  <sheetPr>
    <tabColor theme="9" tint="-0.499984740745262"/>
    <pageSetUpPr fitToPage="1"/>
  </sheetPr>
  <dimension ref="B2:K52"/>
  <sheetViews>
    <sheetView showGridLines="0" topLeftCell="A29" workbookViewId="0">
      <selection activeCell="G33" sqref="G33"/>
    </sheetView>
  </sheetViews>
  <sheetFormatPr defaultColWidth="12.5703125" defaultRowHeight="15.75" customHeight="1" x14ac:dyDescent="0.2"/>
  <cols>
    <col min="1" max="1" width="3.42578125" customWidth="1"/>
    <col min="2" max="2" width="14.140625" customWidth="1"/>
    <col min="3" max="3" width="12.5703125" customWidth="1"/>
    <col min="4" max="4" width="25" bestFit="1" customWidth="1"/>
    <col min="5" max="9" width="12.5703125" customWidth="1"/>
    <col min="10" max="10" width="36.28515625" customWidth="1"/>
    <col min="11" max="11" width="44.42578125" customWidth="1"/>
    <col min="12" max="20" width="7.5703125" customWidth="1"/>
  </cols>
  <sheetData>
    <row r="2" spans="2:10" ht="55.5" customHeight="1" x14ac:dyDescent="0.2">
      <c r="B2" s="670"/>
      <c r="C2" s="670"/>
      <c r="D2" s="670"/>
      <c r="E2" s="891" t="s">
        <v>213</v>
      </c>
      <c r="F2" s="891"/>
      <c r="G2" s="891"/>
      <c r="H2" s="891"/>
      <c r="I2" s="891"/>
      <c r="J2" s="891"/>
    </row>
    <row r="3" spans="2:10" ht="22.5" customHeight="1" x14ac:dyDescent="0.2">
      <c r="B3" s="46"/>
      <c r="C3" s="46"/>
      <c r="D3" s="47"/>
      <c r="E3" s="47"/>
      <c r="F3" s="47"/>
      <c r="G3" s="47"/>
      <c r="H3" s="47"/>
      <c r="I3" s="47"/>
    </row>
    <row r="4" spans="2:10" ht="42" customHeight="1" x14ac:dyDescent="0.2">
      <c r="B4" s="594" t="s">
        <v>214</v>
      </c>
      <c r="C4" s="594"/>
      <c r="D4" s="737" t="str">
        <f>Índex!B74</f>
        <v xml:space="preserve"> PS5.04_Ind04. </v>
      </c>
      <c r="E4" s="737"/>
      <c r="F4" s="890" t="s">
        <v>215</v>
      </c>
      <c r="G4" s="890"/>
      <c r="H4" s="737" t="str">
        <f>Índex!C74</f>
        <v>Percentatge de respostes per titulació de l’afirmació “Tornaria a triar la mateixa titulació” a les enquestes de satisfacció de la UAB</v>
      </c>
      <c r="I4" s="737"/>
      <c r="J4" s="737"/>
    </row>
    <row r="5" spans="2:10" ht="22.5" customHeight="1" x14ac:dyDescent="0.2">
      <c r="B5" s="594" t="s">
        <v>323</v>
      </c>
      <c r="C5" s="594"/>
      <c r="D5" s="737" t="str">
        <f>Índex!F74</f>
        <v>G65%; M 85%</v>
      </c>
      <c r="E5" s="737"/>
      <c r="F5" s="887" t="s">
        <v>217</v>
      </c>
      <c r="G5" s="887"/>
      <c r="H5" s="888" t="s">
        <v>594</v>
      </c>
      <c r="I5" s="888"/>
      <c r="J5" s="889"/>
    </row>
    <row r="6" spans="2:10" ht="22.5" customHeight="1" x14ac:dyDescent="0.2">
      <c r="B6" s="594" t="s">
        <v>219</v>
      </c>
      <c r="C6" s="594"/>
      <c r="D6" s="737" t="s">
        <v>220</v>
      </c>
      <c r="E6" s="737"/>
      <c r="F6" s="890" t="s">
        <v>242</v>
      </c>
      <c r="G6" s="890"/>
      <c r="H6" s="12" t="str">
        <f>Índex!E74</f>
        <v>Gestora de Qualitat</v>
      </c>
      <c r="J6" s="19"/>
    </row>
    <row r="7" spans="2:10" ht="22.5" customHeight="1" x14ac:dyDescent="0.2">
      <c r="B7" s="594" t="s">
        <v>222</v>
      </c>
      <c r="C7" s="594"/>
      <c r="D7" s="737" t="str">
        <f>Índex!G74</f>
        <v>PS5.04. Satisfacció dels Grups d’Interès</v>
      </c>
      <c r="E7" s="737"/>
      <c r="F7" s="737"/>
      <c r="G7" s="737"/>
      <c r="H7" s="737"/>
      <c r="I7" s="737"/>
      <c r="J7" s="737"/>
    </row>
    <row r="8" spans="2:10" ht="7.5" customHeight="1" x14ac:dyDescent="0.2"/>
    <row r="9" spans="2:10" ht="22.5" customHeight="1" x14ac:dyDescent="0.2">
      <c r="B9" s="594" t="s">
        <v>223</v>
      </c>
      <c r="C9" s="594"/>
      <c r="D9" s="594"/>
      <c r="E9" s="594"/>
      <c r="F9" s="594"/>
      <c r="G9" s="594"/>
      <c r="H9" s="594"/>
      <c r="I9" s="594"/>
      <c r="J9" s="594"/>
    </row>
    <row r="10" spans="2:10" ht="22.5" customHeight="1" x14ac:dyDescent="0.2">
      <c r="B10" s="33" t="s">
        <v>172</v>
      </c>
      <c r="C10" s="13"/>
      <c r="D10" s="13"/>
      <c r="E10" s="13"/>
      <c r="F10" s="13"/>
      <c r="G10" s="13"/>
      <c r="H10" s="13"/>
      <c r="I10" s="13"/>
      <c r="J10" s="13"/>
    </row>
    <row r="11" spans="2:10" ht="22.5" customHeight="1" x14ac:dyDescent="0.2"/>
    <row r="12" spans="2:10" ht="22.5" customHeight="1" x14ac:dyDescent="0.2">
      <c r="B12" s="16"/>
      <c r="C12" s="16"/>
      <c r="D12" s="110" t="s">
        <v>224</v>
      </c>
      <c r="E12" s="110" t="s">
        <v>225</v>
      </c>
      <c r="F12" s="110" t="s">
        <v>226</v>
      </c>
      <c r="G12" s="389" t="s">
        <v>227</v>
      </c>
      <c r="H12" s="94" t="s">
        <v>228</v>
      </c>
      <c r="I12" s="94" t="s">
        <v>229</v>
      </c>
    </row>
    <row r="13" spans="2:10" ht="41.25" customHeight="1" x14ac:dyDescent="0.2">
      <c r="B13" s="695" t="s">
        <v>244</v>
      </c>
      <c r="C13" s="695"/>
      <c r="D13" s="41">
        <v>0.63639999999999997</v>
      </c>
      <c r="E13" s="31" t="s">
        <v>237</v>
      </c>
      <c r="F13" s="41">
        <v>0.625</v>
      </c>
      <c r="G13" s="390">
        <v>0.8</v>
      </c>
      <c r="H13" s="41">
        <v>0.88239999999999996</v>
      </c>
      <c r="I13" s="41" t="s">
        <v>260</v>
      </c>
      <c r="J13" s="126"/>
    </row>
    <row r="14" spans="2:10" ht="41.25" customHeight="1" x14ac:dyDescent="0.2">
      <c r="B14" s="695" t="s">
        <v>343</v>
      </c>
      <c r="C14" s="695"/>
      <c r="D14" s="31" t="s">
        <v>237</v>
      </c>
      <c r="E14" s="31" t="s">
        <v>237</v>
      </c>
      <c r="F14" s="41">
        <v>0.8</v>
      </c>
      <c r="G14" s="390" t="s">
        <v>237</v>
      </c>
      <c r="H14" s="31">
        <v>100</v>
      </c>
      <c r="I14" s="31" t="s">
        <v>260</v>
      </c>
      <c r="J14" s="126"/>
    </row>
    <row r="15" spans="2:10" ht="41.25" customHeight="1" x14ac:dyDescent="0.2">
      <c r="B15" s="695" t="s">
        <v>293</v>
      </c>
      <c r="C15" s="695"/>
      <c r="D15" s="31" t="s">
        <v>237</v>
      </c>
      <c r="E15" s="57">
        <v>1</v>
      </c>
      <c r="F15" s="41">
        <v>0.66669999999999996</v>
      </c>
      <c r="G15" s="390">
        <v>0.5</v>
      </c>
      <c r="H15" s="57">
        <v>0.5</v>
      </c>
      <c r="I15" s="57" t="s">
        <v>260</v>
      </c>
      <c r="J15" s="126"/>
    </row>
    <row r="16" spans="2:10" ht="41.25" customHeight="1" x14ac:dyDescent="0.2">
      <c r="B16" s="695" t="s">
        <v>247</v>
      </c>
      <c r="C16" s="695"/>
      <c r="D16" s="41">
        <v>0.77780000000000005</v>
      </c>
      <c r="E16" s="41">
        <v>0.85709999999999997</v>
      </c>
      <c r="F16" s="41">
        <v>0.69230000000000003</v>
      </c>
      <c r="G16" s="390">
        <v>0.66669999999999996</v>
      </c>
      <c r="H16" s="31">
        <v>57.14</v>
      </c>
      <c r="I16" s="31" t="s">
        <v>260</v>
      </c>
      <c r="J16" s="126"/>
    </row>
    <row r="17" spans="2:9" ht="41.25" customHeight="1" x14ac:dyDescent="0.2">
      <c r="B17" s="695" t="s">
        <v>336</v>
      </c>
      <c r="C17" s="695"/>
      <c r="D17" s="31" t="s">
        <v>237</v>
      </c>
      <c r="E17" s="31" t="s">
        <v>237</v>
      </c>
      <c r="F17" s="31" t="s">
        <v>237</v>
      </c>
      <c r="G17" s="390">
        <v>1</v>
      </c>
      <c r="H17" s="31">
        <v>66.67</v>
      </c>
      <c r="I17" s="31" t="s">
        <v>260</v>
      </c>
    </row>
    <row r="18" spans="2:9" ht="41.25" customHeight="1" x14ac:dyDescent="0.2">
      <c r="B18" s="695" t="s">
        <v>337</v>
      </c>
      <c r="C18" s="695"/>
      <c r="D18" s="41">
        <v>0.25</v>
      </c>
      <c r="E18" s="41">
        <v>0.71430000000000005</v>
      </c>
      <c r="F18" s="31" t="s">
        <v>237</v>
      </c>
      <c r="G18" s="390">
        <v>0.5</v>
      </c>
      <c r="H18" s="31">
        <v>87.5</v>
      </c>
      <c r="I18" s="31" t="s">
        <v>260</v>
      </c>
    </row>
    <row r="19" spans="2:9" ht="41.25" customHeight="1" x14ac:dyDescent="0.2">
      <c r="B19" s="695" t="s">
        <v>250</v>
      </c>
      <c r="C19" s="695"/>
      <c r="D19" s="41">
        <v>0.6</v>
      </c>
      <c r="E19" s="31" t="s">
        <v>237</v>
      </c>
      <c r="F19" s="31" t="s">
        <v>237</v>
      </c>
      <c r="G19" s="65" t="s">
        <v>237</v>
      </c>
      <c r="H19" s="41">
        <v>0.57140000000000002</v>
      </c>
      <c r="I19" s="41" t="s">
        <v>260</v>
      </c>
    </row>
    <row r="20" spans="2:9" ht="41.25" customHeight="1" x14ac:dyDescent="0.3">
      <c r="B20" s="882" t="s">
        <v>600</v>
      </c>
      <c r="C20" s="883"/>
      <c r="D20" s="41" t="s">
        <v>237</v>
      </c>
      <c r="E20" s="31" t="s">
        <v>237</v>
      </c>
      <c r="F20" s="31" t="s">
        <v>237</v>
      </c>
      <c r="G20" s="65" t="s">
        <v>237</v>
      </c>
      <c r="H20" s="57">
        <v>1</v>
      </c>
      <c r="I20" s="57" t="s">
        <v>260</v>
      </c>
    </row>
    <row r="21" spans="2:9" ht="41.25" customHeight="1" x14ac:dyDescent="0.2">
      <c r="B21" s="695" t="s">
        <v>252</v>
      </c>
      <c r="C21" s="695"/>
      <c r="D21" s="41">
        <v>1</v>
      </c>
      <c r="E21" s="41">
        <v>0.64290000000000003</v>
      </c>
      <c r="F21" s="41">
        <v>0.54549999999999998</v>
      </c>
      <c r="G21" s="390">
        <v>0.8</v>
      </c>
      <c r="H21" s="41">
        <v>0.66669999999999996</v>
      </c>
      <c r="I21" s="41" t="s">
        <v>260</v>
      </c>
    </row>
    <row r="22" spans="2:9" ht="41.25" customHeight="1" x14ac:dyDescent="0.2">
      <c r="B22" s="695" t="s">
        <v>253</v>
      </c>
      <c r="C22" s="695"/>
      <c r="D22" s="41">
        <v>0.63639999999999997</v>
      </c>
      <c r="E22" s="41">
        <v>0.55559999999999998</v>
      </c>
      <c r="F22" s="41">
        <v>0.73329999999999995</v>
      </c>
      <c r="G22" s="390">
        <v>0.5</v>
      </c>
      <c r="H22" s="41">
        <v>0.72729999999999995</v>
      </c>
      <c r="I22" s="31" t="s">
        <v>260</v>
      </c>
    </row>
    <row r="23" spans="2:9" ht="41.25" customHeight="1" x14ac:dyDescent="0.2">
      <c r="B23" s="695" t="s">
        <v>254</v>
      </c>
      <c r="C23" s="695"/>
      <c r="D23" s="41">
        <v>0.5806</v>
      </c>
      <c r="E23" s="41">
        <v>0.74070000000000003</v>
      </c>
      <c r="F23" s="41">
        <v>0.66669999999999996</v>
      </c>
      <c r="G23" s="390">
        <v>1</v>
      </c>
      <c r="H23" s="41">
        <v>0.84240000000000004</v>
      </c>
      <c r="I23" s="31" t="s">
        <v>260</v>
      </c>
    </row>
    <row r="24" spans="2:9" ht="41.25" customHeight="1" x14ac:dyDescent="0.2">
      <c r="B24" s="695" t="s">
        <v>267</v>
      </c>
      <c r="C24" s="695"/>
      <c r="D24" s="31" t="s">
        <v>237</v>
      </c>
      <c r="E24" s="31" t="s">
        <v>237</v>
      </c>
      <c r="F24" s="41">
        <v>0.5</v>
      </c>
      <c r="G24" s="65" t="s">
        <v>237</v>
      </c>
      <c r="H24" s="41">
        <v>0.84209999999999996</v>
      </c>
      <c r="I24" s="31" t="s">
        <v>260</v>
      </c>
    </row>
    <row r="25" spans="2:9" ht="41.25" customHeight="1" x14ac:dyDescent="0.2">
      <c r="B25" s="752" t="s">
        <v>298</v>
      </c>
      <c r="C25" s="752"/>
      <c r="D25" s="81" t="s">
        <v>237</v>
      </c>
      <c r="E25" s="81" t="s">
        <v>237</v>
      </c>
      <c r="F25" s="81" t="s">
        <v>237</v>
      </c>
      <c r="G25" s="237" t="s">
        <v>237</v>
      </c>
      <c r="H25" s="41">
        <v>0.625</v>
      </c>
      <c r="I25" s="41" t="s">
        <v>260</v>
      </c>
    </row>
    <row r="26" spans="2:9" ht="41.25" customHeight="1" x14ac:dyDescent="0.2">
      <c r="B26" s="695" t="s">
        <v>281</v>
      </c>
      <c r="C26" s="695"/>
      <c r="D26" s="31" t="s">
        <v>237</v>
      </c>
      <c r="E26" s="31" t="s">
        <v>237</v>
      </c>
      <c r="F26" s="41">
        <v>1</v>
      </c>
      <c r="G26" s="65" t="s">
        <v>237</v>
      </c>
      <c r="H26" s="41">
        <v>0.72729999999999995</v>
      </c>
      <c r="I26" s="57" t="s">
        <v>260</v>
      </c>
    </row>
    <row r="27" spans="2:9" ht="41.25" customHeight="1" x14ac:dyDescent="0.2">
      <c r="B27" s="695" t="s">
        <v>270</v>
      </c>
      <c r="C27" s="695"/>
      <c r="D27" s="31" t="s">
        <v>237</v>
      </c>
      <c r="E27" s="31" t="s">
        <v>237</v>
      </c>
      <c r="F27" s="31" t="s">
        <v>237</v>
      </c>
      <c r="G27" s="390" t="s">
        <v>237</v>
      </c>
      <c r="H27" s="57">
        <v>0.5</v>
      </c>
      <c r="I27" s="41" t="s">
        <v>260</v>
      </c>
    </row>
    <row r="28" spans="2:9" ht="41.25" customHeight="1" x14ac:dyDescent="0.2">
      <c r="B28" s="695" t="s">
        <v>283</v>
      </c>
      <c r="C28" s="695"/>
      <c r="D28" s="31" t="s">
        <v>237</v>
      </c>
      <c r="E28" s="31" t="s">
        <v>237</v>
      </c>
      <c r="F28" s="31" t="s">
        <v>237</v>
      </c>
      <c r="G28" s="390" t="s">
        <v>237</v>
      </c>
      <c r="H28" s="41">
        <v>0.77780000000000005</v>
      </c>
      <c r="I28" s="41" t="s">
        <v>260</v>
      </c>
    </row>
    <row r="29" spans="2:9" ht="41.25" customHeight="1" x14ac:dyDescent="0.2">
      <c r="B29" s="695" t="s">
        <v>271</v>
      </c>
      <c r="C29" s="695"/>
      <c r="D29" s="31" t="s">
        <v>237</v>
      </c>
      <c r="E29" s="31" t="s">
        <v>237</v>
      </c>
      <c r="F29" s="31" t="s">
        <v>237</v>
      </c>
      <c r="G29" s="65" t="s">
        <v>237</v>
      </c>
      <c r="H29" s="31" t="s">
        <v>237</v>
      </c>
      <c r="I29" s="31" t="s">
        <v>260</v>
      </c>
    </row>
    <row r="30" spans="2:9" ht="41.25" customHeight="1" x14ac:dyDescent="0.2">
      <c r="B30" s="695" t="s">
        <v>285</v>
      </c>
      <c r="C30" s="695"/>
      <c r="D30" s="31" t="s">
        <v>237</v>
      </c>
      <c r="E30" s="31" t="s">
        <v>237</v>
      </c>
      <c r="F30" s="31" t="s">
        <v>237</v>
      </c>
      <c r="G30" s="390">
        <v>0.33329999999999999</v>
      </c>
      <c r="H30" s="41">
        <v>0.69230000000000003</v>
      </c>
      <c r="I30" s="31" t="s">
        <v>260</v>
      </c>
    </row>
    <row r="31" spans="2:9" ht="22.5" customHeight="1" x14ac:dyDescent="0.2">
      <c r="B31" s="885" t="s">
        <v>601</v>
      </c>
      <c r="D31" s="79">
        <f>COUNTIF(D13:D30,"&gt;=65%")</f>
        <v>2</v>
      </c>
      <c r="E31" s="79">
        <f t="shared" ref="E31:G31" si="0">COUNTIF(E13:E30,"&gt;=65%")</f>
        <v>4</v>
      </c>
      <c r="F31" s="79">
        <f t="shared" si="0"/>
        <v>6</v>
      </c>
      <c r="G31" s="391">
        <f t="shared" si="0"/>
        <v>5</v>
      </c>
      <c r="H31" s="79">
        <f>COUNTIF(H13:H23,"&gt;=65%")</f>
        <v>9</v>
      </c>
      <c r="I31" s="79">
        <f>COUNTIF(I13:I23,"&gt;=65%")</f>
        <v>0</v>
      </c>
    </row>
    <row r="32" spans="2:9" ht="22.5" customHeight="1" x14ac:dyDescent="0.2">
      <c r="B32" s="886"/>
      <c r="C32" s="241"/>
      <c r="D32" s="80">
        <f t="shared" ref="D32:I32" si="1">COUNT(D13:D23)</f>
        <v>7</v>
      </c>
      <c r="E32" s="80">
        <f t="shared" si="1"/>
        <v>6</v>
      </c>
      <c r="F32" s="80">
        <f t="shared" si="1"/>
        <v>7</v>
      </c>
      <c r="G32" s="392">
        <f t="shared" si="1"/>
        <v>8</v>
      </c>
      <c r="H32" s="80">
        <f t="shared" si="1"/>
        <v>11</v>
      </c>
      <c r="I32" s="80">
        <f t="shared" si="1"/>
        <v>0</v>
      </c>
    </row>
    <row r="33" spans="2:11" ht="22.5" customHeight="1" x14ac:dyDescent="0.2">
      <c r="B33" s="245" t="s">
        <v>602</v>
      </c>
      <c r="C33" s="244">
        <v>0.65</v>
      </c>
      <c r="D33" s="244">
        <v>0.65</v>
      </c>
      <c r="E33" s="244">
        <v>0.65</v>
      </c>
      <c r="F33" s="244">
        <v>0.65</v>
      </c>
      <c r="G33" s="393">
        <v>0.65</v>
      </c>
      <c r="H33" s="244">
        <v>0.65</v>
      </c>
      <c r="I33" s="244">
        <v>0.65</v>
      </c>
    </row>
    <row r="34" spans="2:11" ht="22.5" customHeight="1" x14ac:dyDescent="0.2">
      <c r="B34" s="242" t="s">
        <v>603</v>
      </c>
      <c r="C34" s="246"/>
      <c r="D34" s="130">
        <f t="shared" ref="D34:I34" si="2">COUNTIF(D24:D30,"&gt;=85%")</f>
        <v>0</v>
      </c>
      <c r="E34" s="130">
        <f t="shared" si="2"/>
        <v>0</v>
      </c>
      <c r="F34" s="130">
        <f t="shared" si="2"/>
        <v>1</v>
      </c>
      <c r="G34" s="394">
        <f t="shared" si="2"/>
        <v>0</v>
      </c>
      <c r="H34" s="130">
        <f t="shared" si="2"/>
        <v>0</v>
      </c>
      <c r="I34" s="130">
        <f t="shared" si="2"/>
        <v>0</v>
      </c>
      <c r="K34" s="70" t="s">
        <v>234</v>
      </c>
    </row>
    <row r="35" spans="2:11" ht="22.5" customHeight="1" x14ac:dyDescent="0.2">
      <c r="B35" s="242"/>
      <c r="C35" s="242"/>
      <c r="D35" s="130">
        <f t="shared" ref="D35:I35" si="3">COUNT(D24:D30)</f>
        <v>0</v>
      </c>
      <c r="E35" s="130">
        <f t="shared" si="3"/>
        <v>0</v>
      </c>
      <c r="F35" s="130">
        <f t="shared" si="3"/>
        <v>2</v>
      </c>
      <c r="G35" s="394">
        <f t="shared" si="3"/>
        <v>1</v>
      </c>
      <c r="H35" s="130">
        <f t="shared" si="3"/>
        <v>6</v>
      </c>
      <c r="I35" s="130">
        <f t="shared" si="3"/>
        <v>0</v>
      </c>
      <c r="K35" s="9"/>
    </row>
    <row r="36" spans="2:11" ht="22.5" customHeight="1" x14ac:dyDescent="0.2">
      <c r="B36" s="247" t="s">
        <v>604</v>
      </c>
      <c r="C36" s="243">
        <v>0.85</v>
      </c>
      <c r="D36" s="243">
        <v>0.85</v>
      </c>
      <c r="E36" s="243">
        <v>0.85</v>
      </c>
      <c r="F36" s="243">
        <v>0.85</v>
      </c>
      <c r="G36" s="395">
        <v>0.85</v>
      </c>
      <c r="H36" s="243">
        <v>0.85</v>
      </c>
      <c r="I36" s="243">
        <v>0.85</v>
      </c>
      <c r="K36" s="9"/>
    </row>
    <row r="37" spans="2:11" ht="22.5" customHeight="1" x14ac:dyDescent="0.2">
      <c r="B37" s="118" t="s">
        <v>605</v>
      </c>
      <c r="C37" s="239"/>
      <c r="D37" s="77">
        <v>0</v>
      </c>
      <c r="E37" s="77">
        <v>0</v>
      </c>
      <c r="F37" s="77">
        <f>F34/F35</f>
        <v>0.5</v>
      </c>
      <c r="G37" s="396">
        <f t="shared" ref="G37:H37" si="4">G34/G35</f>
        <v>0</v>
      </c>
      <c r="H37" s="240">
        <f t="shared" si="4"/>
        <v>0</v>
      </c>
      <c r="I37" s="240" t="e">
        <f t="shared" ref="I37" si="5">I34/I35</f>
        <v>#DIV/0!</v>
      </c>
      <c r="K37" s="759" t="s">
        <v>606</v>
      </c>
    </row>
    <row r="38" spans="2:11" ht="22.5" customHeight="1" x14ac:dyDescent="0.2">
      <c r="B38" s="685" t="s">
        <v>607</v>
      </c>
      <c r="C38" s="735"/>
      <c r="D38" s="48">
        <f t="shared" ref="D38:I38" si="6">D31/D32</f>
        <v>0.2857142857142857</v>
      </c>
      <c r="E38" s="48">
        <f t="shared" si="6"/>
        <v>0.66666666666666663</v>
      </c>
      <c r="F38" s="48">
        <f t="shared" si="6"/>
        <v>0.8571428571428571</v>
      </c>
      <c r="G38" s="268">
        <f t="shared" si="6"/>
        <v>0.625</v>
      </c>
      <c r="H38" s="48">
        <f t="shared" si="6"/>
        <v>0.81818181818181823</v>
      </c>
      <c r="I38" s="48" t="e">
        <f t="shared" si="6"/>
        <v>#DIV/0!</v>
      </c>
      <c r="K38" s="762"/>
    </row>
    <row r="39" spans="2:11" ht="22.5" customHeight="1" x14ac:dyDescent="0.25">
      <c r="B39" s="7"/>
      <c r="C39" s="7"/>
      <c r="D39" s="6"/>
      <c r="E39" s="6"/>
      <c r="F39" s="6"/>
      <c r="G39" s="6"/>
      <c r="H39" s="6"/>
      <c r="I39" s="6"/>
      <c r="K39" s="762"/>
    </row>
    <row r="40" spans="2:11" ht="22.5" customHeight="1" x14ac:dyDescent="0.2">
      <c r="B40" s="884" t="s">
        <v>233</v>
      </c>
      <c r="C40" s="595"/>
      <c r="D40" s="595"/>
      <c r="E40" s="596"/>
      <c r="F40" s="8"/>
      <c r="K40" s="762"/>
    </row>
    <row r="41" spans="2:11" ht="22.5" customHeight="1" x14ac:dyDescent="0.2">
      <c r="B41" s="8"/>
      <c r="C41" s="8"/>
      <c r="D41" s="8"/>
      <c r="E41" s="8"/>
      <c r="F41" s="8"/>
      <c r="K41" s="762"/>
    </row>
    <row r="42" spans="2:11" ht="6" customHeight="1" x14ac:dyDescent="0.2">
      <c r="B42" s="8"/>
      <c r="C42" s="8"/>
      <c r="D42" s="8"/>
      <c r="E42" s="8"/>
      <c r="F42" s="8"/>
      <c r="K42" s="762"/>
    </row>
    <row r="52" spans="8:10" ht="19.5" customHeight="1" x14ac:dyDescent="0.2">
      <c r="H52" s="588" t="s">
        <v>172</v>
      </c>
      <c r="I52" s="589"/>
      <c r="J52" s="589"/>
    </row>
  </sheetData>
  <sheetProtection sheet="1" formatCells="0" formatColumns="0" formatRows="0" insertColumns="0" insertRows="0" insertHyperlinks="0" deleteColumns="0" deleteRows="0" pivotTables="0"/>
  <mergeCells count="39">
    <mergeCell ref="B2:D2"/>
    <mergeCell ref="E2:J2"/>
    <mergeCell ref="B4:C4"/>
    <mergeCell ref="D4:E4"/>
    <mergeCell ref="F4:G4"/>
    <mergeCell ref="H4:J4"/>
    <mergeCell ref="B18:C18"/>
    <mergeCell ref="B5:C5"/>
    <mergeCell ref="D5:E5"/>
    <mergeCell ref="F5:G5"/>
    <mergeCell ref="H5:J5"/>
    <mergeCell ref="B6:C6"/>
    <mergeCell ref="D6:E6"/>
    <mergeCell ref="F6:G6"/>
    <mergeCell ref="B17:C17"/>
    <mergeCell ref="B7:C7"/>
    <mergeCell ref="D7:J7"/>
    <mergeCell ref="B9:J9"/>
    <mergeCell ref="B13:C13"/>
    <mergeCell ref="B14:C14"/>
    <mergeCell ref="B15:C15"/>
    <mergeCell ref="B16:C16"/>
    <mergeCell ref="H52:J52"/>
    <mergeCell ref="B38:C38"/>
    <mergeCell ref="B40:E40"/>
    <mergeCell ref="B31:B32"/>
    <mergeCell ref="B30:C30"/>
    <mergeCell ref="K37:K42"/>
    <mergeCell ref="B19:C19"/>
    <mergeCell ref="B21:C21"/>
    <mergeCell ref="B22:C22"/>
    <mergeCell ref="B23:C23"/>
    <mergeCell ref="B29:C29"/>
    <mergeCell ref="B20:C20"/>
    <mergeCell ref="B24:C24"/>
    <mergeCell ref="B25:C25"/>
    <mergeCell ref="B26:C26"/>
    <mergeCell ref="B27:C27"/>
    <mergeCell ref="B28:C28"/>
  </mergeCells>
  <conditionalFormatting sqref="D24:H27 D28:I30">
    <cfRule type="cellIs" dxfId="5" priority="1" operator="lessThan">
      <formula>0.85</formula>
    </cfRule>
  </conditionalFormatting>
  <conditionalFormatting sqref="D13:I21 D22:H23 I22:I27">
    <cfRule type="cellIs" dxfId="4" priority="2" operator="lessThan">
      <formula>0.65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B8A62-79E9-4702-8801-82DCCC6891CF}">
  <sheetPr>
    <tabColor theme="9" tint="-0.499984740745262"/>
    <pageSetUpPr fitToPage="1"/>
  </sheetPr>
  <dimension ref="B2:K28"/>
  <sheetViews>
    <sheetView showGridLines="0" topLeftCell="A6" workbookViewId="0">
      <selection activeCell="H13" sqref="H13"/>
    </sheetView>
  </sheetViews>
  <sheetFormatPr defaultColWidth="12.5703125" defaultRowHeight="15.75" customHeight="1" x14ac:dyDescent="0.2"/>
  <cols>
    <col min="1" max="1" width="3.42578125" customWidth="1"/>
    <col min="2" max="2" width="14.140625" customWidth="1"/>
    <col min="3" max="3" width="12.5703125" customWidth="1"/>
    <col min="4" max="4" width="17.28515625" bestFit="1" customWidth="1"/>
    <col min="5" max="9" width="12.5703125" customWidth="1"/>
    <col min="10" max="10" width="36.28515625" customWidth="1"/>
    <col min="11" max="11" width="25.28515625" customWidth="1"/>
    <col min="12" max="21" width="7.5703125" customWidth="1"/>
  </cols>
  <sheetData>
    <row r="2" spans="2:11" ht="55.5" customHeight="1" x14ac:dyDescent="0.2">
      <c r="B2" s="670"/>
      <c r="C2" s="671"/>
      <c r="D2" s="672"/>
      <c r="E2" s="673" t="s">
        <v>213</v>
      </c>
      <c r="F2" s="671"/>
      <c r="G2" s="671"/>
      <c r="H2" s="671"/>
      <c r="I2" s="671"/>
      <c r="J2" s="672"/>
      <c r="K2" s="3"/>
    </row>
    <row r="3" spans="2:11" ht="22.5" customHeight="1" x14ac:dyDescent="0.2">
      <c r="B3" s="46"/>
      <c r="C3" s="46"/>
      <c r="D3" s="47"/>
      <c r="E3" s="47"/>
      <c r="F3" s="47"/>
      <c r="G3" s="47"/>
      <c r="H3" s="47"/>
      <c r="I3" s="47"/>
    </row>
    <row r="4" spans="2:11" ht="42" customHeight="1" x14ac:dyDescent="0.2">
      <c r="B4" s="594" t="s">
        <v>214</v>
      </c>
      <c r="C4" s="596"/>
      <c r="D4" s="674" t="str">
        <f>Índex!B75</f>
        <v xml:space="preserve"> PS5.05_Ind01. </v>
      </c>
      <c r="E4" s="672"/>
      <c r="F4" s="594" t="s">
        <v>215</v>
      </c>
      <c r="G4" s="596"/>
      <c r="H4" s="674" t="str">
        <f>Índex!C75</f>
        <v>Taxa d’eficàcia: percentatge de suggeriments i queixes respostes (15 dies hàbils)</v>
      </c>
      <c r="I4" s="671"/>
      <c r="J4" s="672"/>
    </row>
    <row r="5" spans="2:11" ht="22.5" customHeight="1" x14ac:dyDescent="0.2">
      <c r="B5" s="594" t="s">
        <v>323</v>
      </c>
      <c r="C5" s="596"/>
      <c r="D5" s="736">
        <f>Índex!F75</f>
        <v>1</v>
      </c>
      <c r="E5" s="672"/>
      <c r="F5" s="732" t="s">
        <v>217</v>
      </c>
      <c r="G5" s="596"/>
      <c r="H5" s="775" t="s">
        <v>594</v>
      </c>
      <c r="I5" s="671"/>
      <c r="J5" s="636"/>
    </row>
    <row r="6" spans="2:11" ht="22.5" customHeight="1" x14ac:dyDescent="0.2">
      <c r="B6" s="594" t="s">
        <v>219</v>
      </c>
      <c r="C6" s="596"/>
      <c r="D6" s="674" t="s">
        <v>220</v>
      </c>
      <c r="E6" s="672"/>
      <c r="F6" s="594" t="s">
        <v>242</v>
      </c>
      <c r="G6" s="596"/>
      <c r="H6" s="12" t="str">
        <f>Índex!E75</f>
        <v>Administradora de Centre</v>
      </c>
      <c r="J6" s="108"/>
    </row>
    <row r="7" spans="2:11" ht="22.5" customHeight="1" x14ac:dyDescent="0.2">
      <c r="B7" s="594" t="s">
        <v>222</v>
      </c>
      <c r="C7" s="596"/>
      <c r="D7" s="674" t="str">
        <f>Índex!G75</f>
        <v>PS5.04. Satisfacció dels Grups d’Interès</v>
      </c>
      <c r="E7" s="671"/>
      <c r="F7" s="671"/>
      <c r="G7" s="671"/>
      <c r="H7" s="671"/>
      <c r="I7" s="671"/>
      <c r="J7" s="642"/>
    </row>
    <row r="8" spans="2:11" ht="7.5" customHeight="1" x14ac:dyDescent="0.2"/>
    <row r="9" spans="2:11" ht="22.5" customHeight="1" x14ac:dyDescent="0.2">
      <c r="B9" s="594" t="s">
        <v>223</v>
      </c>
      <c r="C9" s="595"/>
      <c r="D9" s="595"/>
      <c r="E9" s="595"/>
      <c r="F9" s="595"/>
      <c r="G9" s="595"/>
      <c r="H9" s="595"/>
      <c r="I9" s="595"/>
      <c r="J9" s="596"/>
    </row>
    <row r="10" spans="2:11" ht="22.5" customHeight="1" x14ac:dyDescent="0.2">
      <c r="B10" s="20" t="s">
        <v>172</v>
      </c>
      <c r="C10" s="13"/>
      <c r="D10" s="13"/>
      <c r="E10" s="13"/>
      <c r="F10" s="13"/>
      <c r="G10" s="13"/>
      <c r="H10" s="13"/>
      <c r="I10" s="13"/>
      <c r="J10" s="13"/>
    </row>
    <row r="11" spans="2:11" ht="22.5" customHeight="1" x14ac:dyDescent="0.2">
      <c r="D11" s="103" t="s">
        <v>224</v>
      </c>
      <c r="E11" s="103" t="s">
        <v>225</v>
      </c>
      <c r="F11" s="103" t="s">
        <v>226</v>
      </c>
      <c r="G11" s="103" t="s">
        <v>227</v>
      </c>
      <c r="H11" s="103" t="s">
        <v>228</v>
      </c>
      <c r="I11" s="103" t="s">
        <v>229</v>
      </c>
      <c r="J11" s="13"/>
    </row>
    <row r="12" spans="2:11" ht="22.5" customHeight="1" x14ac:dyDescent="0.2">
      <c r="C12" s="126"/>
      <c r="D12" s="64">
        <v>1</v>
      </c>
      <c r="E12" s="64">
        <v>0.8</v>
      </c>
      <c r="F12" s="64">
        <v>0.82</v>
      </c>
      <c r="G12" s="64">
        <v>1</v>
      </c>
      <c r="H12" s="64">
        <v>1</v>
      </c>
      <c r="I12" s="64">
        <v>1</v>
      </c>
      <c r="J12" s="13"/>
    </row>
    <row r="13" spans="2:11" ht="22.5" customHeight="1" x14ac:dyDescent="0.2">
      <c r="B13" s="30" t="s">
        <v>172</v>
      </c>
      <c r="C13" s="121" t="s">
        <v>232</v>
      </c>
      <c r="D13" s="52">
        <f>COUNTIF(D12,"=100%")</f>
        <v>1</v>
      </c>
      <c r="E13" s="52">
        <v>0.8</v>
      </c>
      <c r="F13" s="52">
        <v>0.8</v>
      </c>
      <c r="G13" s="52">
        <f>COUNTIF(G12,"=100%")</f>
        <v>1</v>
      </c>
      <c r="H13" s="52">
        <v>1</v>
      </c>
      <c r="I13" s="52">
        <v>1</v>
      </c>
    </row>
    <row r="14" spans="2:11" ht="22.5" customHeight="1" x14ac:dyDescent="0.2">
      <c r="B14" s="66"/>
      <c r="C14" s="219" t="s">
        <v>231</v>
      </c>
      <c r="D14" s="54">
        <v>1</v>
      </c>
      <c r="E14" s="54">
        <v>1</v>
      </c>
      <c r="F14" s="54">
        <v>1</v>
      </c>
      <c r="G14" s="54">
        <v>1</v>
      </c>
      <c r="H14" s="54">
        <v>1</v>
      </c>
      <c r="I14" s="54">
        <v>1</v>
      </c>
    </row>
    <row r="15" spans="2:11" ht="22.5" customHeight="1" x14ac:dyDescent="0.2">
      <c r="B15" s="66"/>
      <c r="C15" s="67"/>
      <c r="D15" s="66"/>
      <c r="E15" s="66"/>
      <c r="F15" s="66"/>
      <c r="G15" s="13"/>
      <c r="K15" s="70" t="s">
        <v>234</v>
      </c>
    </row>
    <row r="16" spans="2:11" ht="22.5" customHeight="1" x14ac:dyDescent="0.2">
      <c r="B16" s="594" t="s">
        <v>233</v>
      </c>
      <c r="C16" s="595"/>
      <c r="D16" s="595"/>
      <c r="E16" s="596"/>
      <c r="F16" s="8"/>
      <c r="K16" s="9"/>
    </row>
    <row r="17" spans="2:11" ht="22.5" customHeight="1" x14ac:dyDescent="0.2">
      <c r="B17" s="8"/>
      <c r="C17" s="8"/>
      <c r="D17" s="8"/>
      <c r="E17" s="8"/>
      <c r="F17" s="8"/>
      <c r="K17" s="153" t="s">
        <v>172</v>
      </c>
    </row>
    <row r="18" spans="2:11" ht="6" customHeight="1" x14ac:dyDescent="0.2">
      <c r="B18" s="8"/>
      <c r="C18" s="8"/>
      <c r="D18" s="8"/>
      <c r="E18" s="8"/>
      <c r="F18" s="8"/>
      <c r="K18" s="148"/>
    </row>
    <row r="19" spans="2:11" ht="19.5" customHeight="1" x14ac:dyDescent="0.2">
      <c r="B19" s="8"/>
      <c r="C19" s="8"/>
      <c r="D19" s="8"/>
      <c r="E19" s="8"/>
      <c r="F19" s="8"/>
      <c r="K19" s="148"/>
    </row>
    <row r="20" spans="2:11" ht="19.5" customHeight="1" x14ac:dyDescent="0.2">
      <c r="B20" s="8"/>
      <c r="C20" s="8"/>
      <c r="D20" s="8"/>
      <c r="E20" s="8"/>
      <c r="F20" s="8"/>
      <c r="K20" s="148"/>
    </row>
    <row r="21" spans="2:11" ht="19.5" customHeight="1" x14ac:dyDescent="0.2">
      <c r="B21" s="8"/>
      <c r="C21" s="8"/>
      <c r="D21" s="8"/>
      <c r="E21" s="8"/>
      <c r="F21" s="8"/>
      <c r="K21" s="148"/>
    </row>
    <row r="22" spans="2:11" ht="19.5" customHeight="1" x14ac:dyDescent="0.2">
      <c r="B22" s="8"/>
      <c r="C22" s="8"/>
      <c r="D22" s="8"/>
      <c r="E22" s="8"/>
      <c r="F22" s="8"/>
      <c r="K22" s="148"/>
    </row>
    <row r="23" spans="2:11" ht="19.5" customHeight="1" x14ac:dyDescent="0.2">
      <c r="B23" s="8"/>
      <c r="C23" s="8"/>
      <c r="D23" s="8"/>
      <c r="E23" s="8"/>
      <c r="F23" s="8"/>
      <c r="K23" s="148"/>
    </row>
    <row r="24" spans="2:11" ht="19.5" customHeight="1" x14ac:dyDescent="0.2">
      <c r="B24" s="8"/>
      <c r="C24" s="8"/>
      <c r="D24" s="8"/>
      <c r="E24" s="8"/>
      <c r="F24" s="8"/>
      <c r="K24" s="148"/>
    </row>
    <row r="25" spans="2:11" ht="19.5" customHeight="1" x14ac:dyDescent="0.2">
      <c r="B25" s="8"/>
      <c r="C25" s="8"/>
      <c r="D25" s="8"/>
      <c r="E25" s="8"/>
      <c r="F25" s="8"/>
      <c r="K25" s="149"/>
    </row>
    <row r="26" spans="2:11" ht="19.5" customHeight="1" x14ac:dyDescent="0.2">
      <c r="B26" s="8"/>
      <c r="C26" s="8"/>
      <c r="D26" s="8"/>
      <c r="E26" s="8"/>
      <c r="F26" s="8"/>
    </row>
    <row r="27" spans="2:11" ht="19.5" customHeight="1" x14ac:dyDescent="0.2"/>
    <row r="28" spans="2:11" ht="19.5" customHeight="1" x14ac:dyDescent="0.2">
      <c r="H28" s="588" t="s">
        <v>172</v>
      </c>
      <c r="I28" s="589"/>
      <c r="J28" s="589"/>
    </row>
  </sheetData>
  <sheetProtection sheet="1" formatCells="0" formatColumns="0" formatRows="0" insertColumns="0" insertRows="0" insertHyperlinks="0" deleteColumns="0" deleteRows="0" pivotTables="0"/>
  <mergeCells count="18">
    <mergeCell ref="B2:D2"/>
    <mergeCell ref="E2:J2"/>
    <mergeCell ref="B4:C4"/>
    <mergeCell ref="D4:E4"/>
    <mergeCell ref="F4:G4"/>
    <mergeCell ref="H4:J4"/>
    <mergeCell ref="B5:C5"/>
    <mergeCell ref="D5:E5"/>
    <mergeCell ref="F5:G5"/>
    <mergeCell ref="H5:J5"/>
    <mergeCell ref="B6:C6"/>
    <mergeCell ref="D6:E6"/>
    <mergeCell ref="F6:G6"/>
    <mergeCell ref="B9:J9"/>
    <mergeCell ref="B16:E16"/>
    <mergeCell ref="H28:J28"/>
    <mergeCell ref="B7:C7"/>
    <mergeCell ref="D7:J7"/>
  </mergeCells>
  <conditionalFormatting sqref="D13:I13">
    <cfRule type="cellIs" dxfId="3" priority="1" operator="between">
      <formula>0</formula>
      <formula>0.899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3C395-B8A4-49BC-A115-157806311B0C}">
  <sheetPr>
    <tabColor theme="9" tint="-0.499984740745262"/>
  </sheetPr>
  <dimension ref="A2:N28"/>
  <sheetViews>
    <sheetView topLeftCell="A3" workbookViewId="0">
      <selection activeCell="H12" sqref="H12"/>
    </sheetView>
  </sheetViews>
  <sheetFormatPr defaultColWidth="9.140625" defaultRowHeight="12.75" x14ac:dyDescent="0.2"/>
  <cols>
    <col min="1" max="1" width="1.42578125" bestFit="1" customWidth="1"/>
    <col min="2" max="2" width="23.42578125" customWidth="1"/>
    <col min="3" max="3" width="11.140625" customWidth="1"/>
    <col min="4" max="4" width="11.28515625" customWidth="1"/>
    <col min="5" max="5" width="10.5703125" customWidth="1"/>
    <col min="6" max="6" width="11.28515625" customWidth="1"/>
    <col min="7" max="7" width="11.42578125" customWidth="1"/>
    <col min="8" max="8" width="11.28515625" customWidth="1"/>
    <col min="9" max="9" width="33.85546875" customWidth="1"/>
  </cols>
  <sheetData>
    <row r="2" spans="1:9" ht="57.75" customHeight="1" x14ac:dyDescent="0.2">
      <c r="A2" s="670"/>
      <c r="B2" s="671"/>
      <c r="C2" s="672"/>
      <c r="D2" s="673" t="s">
        <v>213</v>
      </c>
      <c r="E2" s="671"/>
      <c r="F2" s="671"/>
      <c r="G2" s="671"/>
      <c r="H2" s="671"/>
      <c r="I2" s="672"/>
    </row>
    <row r="3" spans="1:9" ht="53.25" customHeight="1" x14ac:dyDescent="0.2">
      <c r="A3" s="46"/>
      <c r="B3" s="46"/>
      <c r="C3" s="47"/>
      <c r="D3" s="47"/>
      <c r="E3" s="47"/>
      <c r="F3" s="47"/>
      <c r="G3" s="47"/>
      <c r="H3" s="47"/>
    </row>
    <row r="4" spans="1:9" x14ac:dyDescent="0.2">
      <c r="A4" s="594" t="s">
        <v>214</v>
      </c>
      <c r="B4" s="596"/>
      <c r="C4" s="674" t="str">
        <f>Índex!B76</f>
        <v xml:space="preserve"> PS5.05_Ind02. </v>
      </c>
      <c r="D4" s="672"/>
      <c r="E4" s="594" t="s">
        <v>215</v>
      </c>
      <c r="F4" s="596"/>
      <c r="G4" s="674" t="str">
        <f>Índex!C76</f>
        <v>Temps mitjà de resposta igual o inferior a 7,5 dies hàbils de les queixes i els suggeriments (termini màxim: 15 dies hàbils</v>
      </c>
      <c r="H4" s="671"/>
      <c r="I4" s="672"/>
    </row>
    <row r="5" spans="1:9" x14ac:dyDescent="0.2">
      <c r="A5" s="594" t="s">
        <v>323</v>
      </c>
      <c r="B5" s="596"/>
      <c r="C5" s="736" t="str">
        <f>Índex!F76</f>
        <v>15 dies hàbils</v>
      </c>
      <c r="D5" s="672"/>
      <c r="E5" s="732" t="s">
        <v>217</v>
      </c>
      <c r="F5" s="596"/>
      <c r="G5" s="775" t="s">
        <v>594</v>
      </c>
      <c r="H5" s="671"/>
      <c r="I5" s="636"/>
    </row>
    <row r="6" spans="1:9" x14ac:dyDescent="0.2">
      <c r="A6" s="594" t="s">
        <v>219</v>
      </c>
      <c r="B6" s="596"/>
      <c r="C6" s="674" t="s">
        <v>220</v>
      </c>
      <c r="D6" s="672"/>
      <c r="E6" s="594" t="s">
        <v>242</v>
      </c>
      <c r="F6" s="596"/>
      <c r="G6" s="12" t="str">
        <f>Índex!D75</f>
        <v>Vicedegà d'Economia i d’Afers Acadèmics de Postgrau</v>
      </c>
      <c r="I6" s="108"/>
    </row>
    <row r="7" spans="1:9" x14ac:dyDescent="0.2">
      <c r="A7" s="594" t="s">
        <v>222</v>
      </c>
      <c r="B7" s="596"/>
      <c r="C7" s="736" t="str">
        <f>Índex!G76</f>
        <v>PS5.04. Satisfacció dels Grups d’Interès</v>
      </c>
      <c r="D7" s="671"/>
      <c r="E7" s="671"/>
      <c r="F7" s="671"/>
      <c r="G7" s="671"/>
      <c r="H7" s="671"/>
      <c r="I7" s="642"/>
    </row>
    <row r="9" spans="1:9" x14ac:dyDescent="0.2">
      <c r="A9" s="594" t="s">
        <v>223</v>
      </c>
      <c r="B9" s="595"/>
      <c r="C9" s="595"/>
      <c r="D9" s="595"/>
      <c r="E9" s="595"/>
      <c r="F9" s="595"/>
      <c r="G9" s="595"/>
      <c r="H9" s="595"/>
      <c r="I9" s="596"/>
    </row>
    <row r="10" spans="1:9" x14ac:dyDescent="0.2">
      <c r="A10" s="20" t="s">
        <v>172</v>
      </c>
      <c r="B10" s="13"/>
      <c r="C10" s="13"/>
      <c r="D10" s="13"/>
      <c r="E10" s="13"/>
      <c r="F10" s="13"/>
      <c r="G10" s="13"/>
      <c r="H10" s="13"/>
      <c r="I10" s="13"/>
    </row>
    <row r="11" spans="1:9" x14ac:dyDescent="0.2">
      <c r="C11" s="103" t="s">
        <v>224</v>
      </c>
      <c r="D11" s="103" t="s">
        <v>225</v>
      </c>
      <c r="E11" s="103" t="s">
        <v>226</v>
      </c>
      <c r="F11" s="103" t="s">
        <v>227</v>
      </c>
      <c r="G11" s="103" t="s">
        <v>228</v>
      </c>
      <c r="H11" s="103" t="s">
        <v>229</v>
      </c>
      <c r="I11" s="13"/>
    </row>
    <row r="12" spans="1:9" ht="13.5" x14ac:dyDescent="0.2">
      <c r="B12" s="126" t="s">
        <v>608</v>
      </c>
      <c r="C12" s="44">
        <v>11.19</v>
      </c>
      <c r="D12" s="44">
        <v>8.0500000000000007</v>
      </c>
      <c r="E12" s="44">
        <v>3.94</v>
      </c>
      <c r="F12" s="44">
        <v>5.72</v>
      </c>
      <c r="G12" s="44">
        <v>1</v>
      </c>
      <c r="H12" s="44">
        <v>3.8</v>
      </c>
      <c r="I12" s="13"/>
    </row>
    <row r="13" spans="1:9" ht="13.5" x14ac:dyDescent="0.2">
      <c r="A13" s="66"/>
      <c r="B13" s="219" t="s">
        <v>231</v>
      </c>
      <c r="C13" s="27">
        <v>15</v>
      </c>
      <c r="D13" s="27">
        <v>15</v>
      </c>
      <c r="E13" s="27">
        <v>15</v>
      </c>
      <c r="F13" s="27">
        <v>15</v>
      </c>
      <c r="G13" s="27">
        <v>15</v>
      </c>
      <c r="H13" s="27">
        <v>15</v>
      </c>
    </row>
    <row r="14" spans="1:9" ht="13.5" x14ac:dyDescent="0.2">
      <c r="A14" s="66"/>
      <c r="B14" s="121" t="s">
        <v>232</v>
      </c>
      <c r="C14" s="52">
        <f>COUNTIF(C12,"&lt;15")</f>
        <v>1</v>
      </c>
      <c r="D14" s="52">
        <f t="shared" ref="D14:G14" si="0">COUNTIF(D12,"&lt;15")</f>
        <v>1</v>
      </c>
      <c r="E14" s="52">
        <f t="shared" si="0"/>
        <v>1</v>
      </c>
      <c r="F14" s="52">
        <f t="shared" si="0"/>
        <v>1</v>
      </c>
      <c r="G14" s="52">
        <f t="shared" si="0"/>
        <v>1</v>
      </c>
      <c r="H14" s="52">
        <f t="shared" ref="H14" si="1">COUNTIF(H12,"&lt;15")</f>
        <v>1</v>
      </c>
    </row>
    <row r="15" spans="1:9" ht="13.5" x14ac:dyDescent="0.2">
      <c r="A15" s="66"/>
      <c r="B15" s="67"/>
      <c r="C15" s="66"/>
      <c r="D15" s="66"/>
      <c r="E15" s="66"/>
      <c r="F15" s="13"/>
    </row>
    <row r="16" spans="1:9" ht="20.25" x14ac:dyDescent="0.2">
      <c r="A16" s="594" t="s">
        <v>233</v>
      </c>
      <c r="B16" s="595"/>
      <c r="C16" s="595"/>
      <c r="D16" s="596"/>
      <c r="E16" s="8"/>
    </row>
    <row r="17" spans="7:14" x14ac:dyDescent="0.2">
      <c r="K17" s="594" t="s">
        <v>234</v>
      </c>
      <c r="L17" s="595"/>
      <c r="M17" s="595"/>
      <c r="N17" s="596"/>
    </row>
    <row r="18" spans="7:14" ht="15" x14ac:dyDescent="0.2">
      <c r="K18" s="9"/>
      <c r="L18" s="9"/>
      <c r="M18" s="9"/>
      <c r="N18" s="9"/>
    </row>
    <row r="19" spans="7:14" x14ac:dyDescent="0.2">
      <c r="K19" s="634" t="s">
        <v>172</v>
      </c>
      <c r="L19" s="580"/>
      <c r="M19" s="580"/>
      <c r="N19" s="581"/>
    </row>
    <row r="20" spans="7:14" x14ac:dyDescent="0.2">
      <c r="K20" s="582"/>
      <c r="L20" s="583"/>
      <c r="M20" s="583"/>
      <c r="N20" s="584"/>
    </row>
    <row r="21" spans="7:14" x14ac:dyDescent="0.2">
      <c r="K21" s="582"/>
      <c r="L21" s="583"/>
      <c r="M21" s="583"/>
      <c r="N21" s="584"/>
    </row>
    <row r="22" spans="7:14" x14ac:dyDescent="0.2">
      <c r="K22" s="582"/>
      <c r="L22" s="583"/>
      <c r="M22" s="583"/>
      <c r="N22" s="584"/>
    </row>
    <row r="23" spans="7:14" x14ac:dyDescent="0.2">
      <c r="K23" s="582"/>
      <c r="L23" s="583"/>
      <c r="M23" s="583"/>
      <c r="N23" s="584"/>
    </row>
    <row r="24" spans="7:14" x14ac:dyDescent="0.2">
      <c r="K24" s="582"/>
      <c r="L24" s="583"/>
      <c r="M24" s="583"/>
      <c r="N24" s="584"/>
    </row>
    <row r="25" spans="7:14" x14ac:dyDescent="0.2">
      <c r="K25" s="582"/>
      <c r="L25" s="583"/>
      <c r="M25" s="583"/>
      <c r="N25" s="584"/>
    </row>
    <row r="26" spans="7:14" x14ac:dyDescent="0.2">
      <c r="K26" s="582"/>
      <c r="L26" s="583"/>
      <c r="M26" s="583"/>
      <c r="N26" s="584"/>
    </row>
    <row r="27" spans="7:14" x14ac:dyDescent="0.2">
      <c r="K27" s="585"/>
      <c r="L27" s="586"/>
      <c r="M27" s="586"/>
      <c r="N27" s="587"/>
    </row>
    <row r="28" spans="7:14" x14ac:dyDescent="0.2">
      <c r="G28" s="588" t="s">
        <v>172</v>
      </c>
      <c r="H28" s="589"/>
      <c r="I28" s="589"/>
    </row>
  </sheetData>
  <sheetProtection sheet="1" formatCells="0" formatColumns="0" formatRows="0" insertColumns="0" insertRows="0" insertHyperlinks="0" deleteColumns="0" deleteRows="0" pivotTables="0"/>
  <mergeCells count="20">
    <mergeCell ref="G28:I28"/>
    <mergeCell ref="A7:B7"/>
    <mergeCell ref="C7:I7"/>
    <mergeCell ref="A9:I9"/>
    <mergeCell ref="A16:D16"/>
    <mergeCell ref="K17:N17"/>
    <mergeCell ref="K19:N27"/>
    <mergeCell ref="A5:B5"/>
    <mergeCell ref="C5:D5"/>
    <mergeCell ref="E5:F5"/>
    <mergeCell ref="G5:I5"/>
    <mergeCell ref="A6:B6"/>
    <mergeCell ref="C6:D6"/>
    <mergeCell ref="E6:F6"/>
    <mergeCell ref="A2:C2"/>
    <mergeCell ref="D2:I2"/>
    <mergeCell ref="A4:B4"/>
    <mergeCell ref="C4:D4"/>
    <mergeCell ref="E4:F4"/>
    <mergeCell ref="G4:I4"/>
  </mergeCells>
  <conditionalFormatting sqref="C14:H14">
    <cfRule type="cellIs" dxfId="2" priority="1" operator="between">
      <formula>0</formula>
      <formula>0.899</formula>
    </cfRule>
  </conditionalFormatting>
  <pageMargins left="0.7" right="0.7" top="0.75" bottom="0.75" header="0.3" footer="0.3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70117-9205-49D6-A13B-8724EA6E9FAA}">
  <sheetPr>
    <tabColor theme="9" tint="-0.499984740745262"/>
    <pageSetUpPr fitToPage="1"/>
  </sheetPr>
  <dimension ref="B2:N41"/>
  <sheetViews>
    <sheetView showGridLines="0" topLeftCell="A23" workbookViewId="0">
      <selection activeCell="H27" sqref="H27"/>
    </sheetView>
  </sheetViews>
  <sheetFormatPr defaultColWidth="12.5703125" defaultRowHeight="15.75" customHeight="1" x14ac:dyDescent="0.2"/>
  <cols>
    <col min="1" max="1" width="3.42578125" customWidth="1"/>
    <col min="2" max="2" width="14.140625" customWidth="1"/>
    <col min="3" max="3" width="12.5703125" customWidth="1"/>
    <col min="4" max="4" width="19.7109375" customWidth="1"/>
    <col min="5" max="9" width="12.5703125" customWidth="1"/>
    <col min="10" max="10" width="36.28515625" customWidth="1"/>
    <col min="11" max="20" width="7.5703125" customWidth="1"/>
  </cols>
  <sheetData>
    <row r="2" spans="2:10" ht="55.5" customHeight="1" x14ac:dyDescent="0.2">
      <c r="B2" s="670"/>
      <c r="C2" s="671"/>
      <c r="D2" s="672"/>
      <c r="E2" s="673" t="s">
        <v>213</v>
      </c>
      <c r="F2" s="671"/>
      <c r="G2" s="671"/>
      <c r="H2" s="671"/>
      <c r="I2" s="671"/>
      <c r="J2" s="672"/>
    </row>
    <row r="3" spans="2:10" ht="22.5" customHeight="1" x14ac:dyDescent="0.2">
      <c r="B3" s="46"/>
      <c r="C3" s="46"/>
      <c r="D3" s="47"/>
      <c r="E3" s="47"/>
      <c r="F3" s="47"/>
      <c r="G3" s="47"/>
      <c r="H3" s="47"/>
      <c r="I3" s="47"/>
    </row>
    <row r="4" spans="2:10" ht="42" customHeight="1" x14ac:dyDescent="0.2">
      <c r="B4" s="594" t="s">
        <v>214</v>
      </c>
      <c r="C4" s="596"/>
      <c r="D4" s="674" t="str">
        <f>Índex!B77</f>
        <v xml:space="preserve"> PS5.05_Ind03. </v>
      </c>
      <c r="E4" s="672"/>
      <c r="F4" s="594" t="s">
        <v>215</v>
      </c>
      <c r="G4" s="596"/>
      <c r="H4" s="674" t="str">
        <f>Índex!C77</f>
        <v>Valoració mitjana a la pregunta “He rebut resposta adequada a les meves queixes i suggeriments</v>
      </c>
      <c r="I4" s="671"/>
      <c r="J4" s="672"/>
    </row>
    <row r="5" spans="2:10" ht="22.5" customHeight="1" x14ac:dyDescent="0.2">
      <c r="B5" s="594" t="s">
        <v>323</v>
      </c>
      <c r="C5" s="596"/>
      <c r="D5" s="674" t="str">
        <f>Índex!F77</f>
        <v>≥3</v>
      </c>
      <c r="E5" s="672"/>
      <c r="F5" s="732" t="s">
        <v>217</v>
      </c>
      <c r="G5" s="596"/>
      <c r="H5" s="775" t="s">
        <v>594</v>
      </c>
      <c r="I5" s="671"/>
      <c r="J5" s="636"/>
    </row>
    <row r="6" spans="2:10" ht="22.5" customHeight="1" x14ac:dyDescent="0.2">
      <c r="B6" s="594" t="s">
        <v>219</v>
      </c>
      <c r="C6" s="596"/>
      <c r="D6" s="674" t="s">
        <v>220</v>
      </c>
      <c r="E6" s="672"/>
      <c r="F6" s="594" t="s">
        <v>242</v>
      </c>
      <c r="G6" s="596"/>
      <c r="H6" s="12" t="str">
        <f>Índex!E77</f>
        <v>Gestora de Qualitat</v>
      </c>
      <c r="J6" s="108"/>
    </row>
    <row r="7" spans="2:10" ht="22.5" customHeight="1" x14ac:dyDescent="0.2">
      <c r="B7" s="594" t="s">
        <v>222</v>
      </c>
      <c r="C7" s="596"/>
      <c r="D7" s="674" t="str">
        <f>Índex!G77</f>
        <v>PS5.04. Satisfacció dels Grups d’Interès</v>
      </c>
      <c r="E7" s="671"/>
      <c r="F7" s="671"/>
      <c r="G7" s="671"/>
      <c r="H7" s="671"/>
      <c r="I7" s="671"/>
      <c r="J7" s="642"/>
    </row>
    <row r="8" spans="2:10" ht="7.5" customHeight="1" x14ac:dyDescent="0.2"/>
    <row r="9" spans="2:10" ht="22.5" customHeight="1" x14ac:dyDescent="0.2">
      <c r="B9" s="594" t="s">
        <v>223</v>
      </c>
      <c r="C9" s="595"/>
      <c r="D9" s="595"/>
      <c r="E9" s="595"/>
      <c r="F9" s="595"/>
      <c r="G9" s="595"/>
      <c r="H9" s="595"/>
      <c r="I9" s="595"/>
      <c r="J9" s="596"/>
    </row>
    <row r="10" spans="2:10" ht="22.5" customHeight="1" x14ac:dyDescent="0.2">
      <c r="B10" s="33" t="s">
        <v>172</v>
      </c>
      <c r="C10" s="13"/>
      <c r="D10" s="13"/>
      <c r="E10" s="13"/>
      <c r="F10" s="13"/>
      <c r="G10" s="13"/>
      <c r="H10" s="13"/>
      <c r="I10" s="13"/>
      <c r="J10" s="13"/>
    </row>
    <row r="11" spans="2:10" ht="22.5" customHeight="1" x14ac:dyDescent="0.2"/>
    <row r="12" spans="2:10" ht="22.5" customHeight="1" thickBot="1" x14ac:dyDescent="0.25">
      <c r="B12" s="16"/>
      <c r="C12" s="16"/>
      <c r="D12" s="110" t="s">
        <v>224</v>
      </c>
      <c r="E12" s="110" t="s">
        <v>225</v>
      </c>
      <c r="F12" s="110" t="s">
        <v>226</v>
      </c>
      <c r="G12" s="110" t="s">
        <v>227</v>
      </c>
      <c r="H12" s="110" t="s">
        <v>228</v>
      </c>
      <c r="I12" s="110" t="s">
        <v>229</v>
      </c>
    </row>
    <row r="13" spans="2:10" ht="41.25" customHeight="1" thickBot="1" x14ac:dyDescent="0.25">
      <c r="B13" s="695" t="s">
        <v>244</v>
      </c>
      <c r="C13" s="695"/>
      <c r="D13" s="31">
        <v>3.27</v>
      </c>
      <c r="E13" s="31" t="s">
        <v>237</v>
      </c>
      <c r="F13" s="31">
        <v>3.43</v>
      </c>
      <c r="G13" s="31">
        <v>3.6</v>
      </c>
      <c r="H13" s="31">
        <v>3.76</v>
      </c>
      <c r="I13" s="417" t="s">
        <v>260</v>
      </c>
      <c r="J13" s="126"/>
    </row>
    <row r="14" spans="2:10" ht="41.25" customHeight="1" thickBot="1" x14ac:dyDescent="0.25">
      <c r="B14" s="695" t="s">
        <v>343</v>
      </c>
      <c r="C14" s="695"/>
      <c r="D14" s="31" t="s">
        <v>237</v>
      </c>
      <c r="E14" s="31" t="s">
        <v>237</v>
      </c>
      <c r="F14" s="31">
        <v>3.2</v>
      </c>
      <c r="G14" s="31">
        <v>3</v>
      </c>
      <c r="H14" s="31">
        <v>2.86</v>
      </c>
      <c r="I14" s="170" t="s">
        <v>260</v>
      </c>
      <c r="J14" s="126"/>
    </row>
    <row r="15" spans="2:10" ht="41.25" customHeight="1" thickBot="1" x14ac:dyDescent="0.25">
      <c r="B15" s="695" t="s">
        <v>293</v>
      </c>
      <c r="C15" s="695"/>
      <c r="D15" s="31" t="s">
        <v>237</v>
      </c>
      <c r="E15" s="31">
        <v>4</v>
      </c>
      <c r="F15" s="31">
        <v>3.33</v>
      </c>
      <c r="G15" s="31">
        <v>2</v>
      </c>
      <c r="H15" s="31">
        <v>4.17</v>
      </c>
      <c r="I15" s="506" t="s">
        <v>260</v>
      </c>
      <c r="J15" s="126"/>
    </row>
    <row r="16" spans="2:10" ht="41.25" customHeight="1" thickBot="1" x14ac:dyDescent="0.25">
      <c r="B16" s="695" t="s">
        <v>247</v>
      </c>
      <c r="C16" s="695"/>
      <c r="D16" s="31">
        <v>2.56</v>
      </c>
      <c r="E16" s="31">
        <v>3.05</v>
      </c>
      <c r="F16" s="31">
        <v>3.46</v>
      </c>
      <c r="G16" s="31">
        <v>2.33</v>
      </c>
      <c r="H16" s="31">
        <v>3.52</v>
      </c>
      <c r="I16" s="171" t="s">
        <v>260</v>
      </c>
      <c r="J16" s="126"/>
    </row>
    <row r="17" spans="2:14" ht="41.25" customHeight="1" thickBot="1" x14ac:dyDescent="0.25">
      <c r="B17" s="695" t="s">
        <v>336</v>
      </c>
      <c r="C17" s="695"/>
      <c r="D17" s="31" t="s">
        <v>237</v>
      </c>
      <c r="E17" s="31" t="s">
        <v>237</v>
      </c>
      <c r="F17" s="31" t="s">
        <v>237</v>
      </c>
      <c r="G17" s="31">
        <v>4</v>
      </c>
      <c r="H17" s="31">
        <v>3.56</v>
      </c>
      <c r="I17" s="171" t="s">
        <v>260</v>
      </c>
      <c r="J17" s="126"/>
      <c r="K17" s="23"/>
      <c r="L17" s="28"/>
      <c r="M17" s="28"/>
    </row>
    <row r="18" spans="2:14" ht="41.25" customHeight="1" thickBot="1" x14ac:dyDescent="0.25">
      <c r="B18" s="695" t="s">
        <v>337</v>
      </c>
      <c r="C18" s="695"/>
      <c r="D18" s="31">
        <v>3.13</v>
      </c>
      <c r="E18" s="31">
        <v>3</v>
      </c>
      <c r="F18" s="31" t="s">
        <v>237</v>
      </c>
      <c r="G18" s="31">
        <v>3.25</v>
      </c>
      <c r="H18" s="31">
        <v>4</v>
      </c>
      <c r="I18" s="171" t="s">
        <v>260</v>
      </c>
      <c r="J18" s="126"/>
      <c r="K18" s="23"/>
      <c r="L18" s="28"/>
      <c r="M18" s="28"/>
    </row>
    <row r="19" spans="2:14" ht="41.25" customHeight="1" thickBot="1" x14ac:dyDescent="0.25">
      <c r="B19" s="695" t="s">
        <v>250</v>
      </c>
      <c r="C19" s="695"/>
      <c r="D19" s="31">
        <v>2</v>
      </c>
      <c r="E19" s="31" t="s">
        <v>237</v>
      </c>
      <c r="F19" s="31" t="s">
        <v>237</v>
      </c>
      <c r="G19" s="31" t="s">
        <v>237</v>
      </c>
      <c r="H19" s="31">
        <v>3.71</v>
      </c>
      <c r="I19" s="171" t="s">
        <v>260</v>
      </c>
      <c r="J19" s="126"/>
      <c r="K19" s="23"/>
      <c r="L19" s="28"/>
      <c r="M19" s="28"/>
    </row>
    <row r="20" spans="2:14" ht="41.25" customHeight="1" thickBot="1" x14ac:dyDescent="0.25">
      <c r="B20" s="695" t="s">
        <v>252</v>
      </c>
      <c r="C20" s="695"/>
      <c r="D20" s="31">
        <v>3.6</v>
      </c>
      <c r="E20" s="31">
        <v>3.07</v>
      </c>
      <c r="F20" s="31">
        <v>3</v>
      </c>
      <c r="G20" s="31">
        <v>1.8</v>
      </c>
      <c r="H20" s="31">
        <v>4.17</v>
      </c>
      <c r="I20" s="171" t="s">
        <v>260</v>
      </c>
      <c r="J20" s="29"/>
    </row>
    <row r="21" spans="2:14" ht="41.25" customHeight="1" thickBot="1" x14ac:dyDescent="0.35">
      <c r="B21" s="772" t="s">
        <v>251</v>
      </c>
      <c r="C21" s="772"/>
      <c r="D21" s="31" t="s">
        <v>237</v>
      </c>
      <c r="E21" s="31" t="s">
        <v>237</v>
      </c>
      <c r="F21" s="31" t="s">
        <v>237</v>
      </c>
      <c r="G21" s="31" t="s">
        <v>237</v>
      </c>
      <c r="H21" s="31">
        <v>3.87</v>
      </c>
      <c r="I21" s="171" t="s">
        <v>260</v>
      </c>
      <c r="J21" s="29"/>
    </row>
    <row r="22" spans="2:14" ht="41.25" customHeight="1" thickBot="1" x14ac:dyDescent="0.25">
      <c r="B22" s="695" t="s">
        <v>253</v>
      </c>
      <c r="C22" s="695"/>
      <c r="D22" s="31">
        <v>2.64</v>
      </c>
      <c r="E22" s="31">
        <v>2.67</v>
      </c>
      <c r="F22" s="31">
        <v>3</v>
      </c>
      <c r="G22" s="31">
        <v>3</v>
      </c>
      <c r="H22" s="31">
        <v>3.82</v>
      </c>
      <c r="I22" s="171" t="s">
        <v>260</v>
      </c>
      <c r="J22" s="30"/>
      <c r="K22" s="55"/>
      <c r="L22" s="55"/>
      <c r="M22" s="55"/>
      <c r="N22" s="55"/>
    </row>
    <row r="23" spans="2:14" ht="41.25" customHeight="1" thickBot="1" x14ac:dyDescent="0.25">
      <c r="B23" s="695" t="s">
        <v>254</v>
      </c>
      <c r="C23" s="695"/>
      <c r="D23" s="31">
        <v>2.71</v>
      </c>
      <c r="E23" s="31">
        <v>2.85</v>
      </c>
      <c r="F23" s="31">
        <v>2.58</v>
      </c>
      <c r="G23" s="31">
        <v>3.25</v>
      </c>
      <c r="H23" s="31">
        <v>3.58</v>
      </c>
      <c r="I23" s="171" t="s">
        <v>260</v>
      </c>
      <c r="J23" s="30"/>
      <c r="K23" s="55"/>
      <c r="L23" s="55"/>
      <c r="M23" s="55"/>
      <c r="N23" s="55"/>
    </row>
    <row r="24" spans="2:14" ht="22.5" customHeight="1" thickBot="1" x14ac:dyDescent="0.25">
      <c r="B24" s="816" t="str">
        <f>D5</f>
        <v>≥3</v>
      </c>
      <c r="C24" s="816"/>
      <c r="D24" s="220">
        <f t="shared" ref="D24:H24" si="0">COUNTIF(D13:D23,"&gt;=3")</f>
        <v>3</v>
      </c>
      <c r="E24" s="220">
        <f t="shared" si="0"/>
        <v>4</v>
      </c>
      <c r="F24" s="220">
        <f t="shared" si="0"/>
        <v>6</v>
      </c>
      <c r="G24" s="220">
        <f t="shared" si="0"/>
        <v>6</v>
      </c>
      <c r="H24" s="220">
        <f t="shared" si="0"/>
        <v>10</v>
      </c>
      <c r="I24" s="171" t="s">
        <v>260</v>
      </c>
    </row>
    <row r="25" spans="2:14" ht="22.5" customHeight="1" thickBot="1" x14ac:dyDescent="0.25">
      <c r="B25" s="689" t="s">
        <v>274</v>
      </c>
      <c r="C25" s="689"/>
      <c r="D25" s="17">
        <f t="shared" ref="D25:H25" si="1">COUNT(D13:D23)</f>
        <v>7</v>
      </c>
      <c r="E25" s="17">
        <f t="shared" si="1"/>
        <v>6</v>
      </c>
      <c r="F25" s="17">
        <f t="shared" si="1"/>
        <v>7</v>
      </c>
      <c r="G25" s="17">
        <f t="shared" si="1"/>
        <v>9</v>
      </c>
      <c r="H25" s="17">
        <f t="shared" si="1"/>
        <v>11</v>
      </c>
      <c r="I25" s="171" t="s">
        <v>260</v>
      </c>
    </row>
    <row r="26" spans="2:14" ht="22.5" customHeight="1" x14ac:dyDescent="0.2">
      <c r="B26" s="685" t="s">
        <v>231</v>
      </c>
      <c r="C26" s="735"/>
      <c r="D26" s="74" t="str">
        <f>$D5</f>
        <v>≥3</v>
      </c>
      <c r="E26" s="74" t="str">
        <f t="shared" ref="E26:H26" si="2">$D5</f>
        <v>≥3</v>
      </c>
      <c r="F26" s="74" t="str">
        <f t="shared" si="2"/>
        <v>≥3</v>
      </c>
      <c r="G26" s="74" t="str">
        <f t="shared" si="2"/>
        <v>≥3</v>
      </c>
      <c r="H26" s="74" t="str">
        <f t="shared" si="2"/>
        <v>≥3</v>
      </c>
      <c r="I26" s="74" t="str">
        <f t="shared" ref="I26" si="3">$D5</f>
        <v>≥3</v>
      </c>
    </row>
    <row r="27" spans="2:14" ht="22.5" customHeight="1" x14ac:dyDescent="0.2">
      <c r="B27" s="685" t="s">
        <v>232</v>
      </c>
      <c r="C27" s="735"/>
      <c r="D27" s="48">
        <f t="shared" ref="D27:I27" si="4">D24/D25</f>
        <v>0.42857142857142855</v>
      </c>
      <c r="E27" s="48">
        <f t="shared" si="4"/>
        <v>0.66666666666666663</v>
      </c>
      <c r="F27" s="48">
        <f t="shared" si="4"/>
        <v>0.8571428571428571</v>
      </c>
      <c r="G27" s="48">
        <f t="shared" si="4"/>
        <v>0.66666666666666663</v>
      </c>
      <c r="H27" s="48">
        <f t="shared" si="4"/>
        <v>0.90909090909090906</v>
      </c>
      <c r="I27" s="48" t="e">
        <f t="shared" si="4"/>
        <v>#VALUE!</v>
      </c>
    </row>
    <row r="28" spans="2:14" ht="22.5" customHeight="1" x14ac:dyDescent="0.25">
      <c r="B28" s="7"/>
      <c r="C28" s="7"/>
      <c r="D28" s="6"/>
      <c r="E28" s="6"/>
      <c r="F28" s="6"/>
      <c r="G28" s="6"/>
      <c r="H28" s="6"/>
      <c r="I28" s="6"/>
      <c r="J28" s="6"/>
    </row>
    <row r="29" spans="2:14" ht="22.5" customHeight="1" x14ac:dyDescent="0.2">
      <c r="B29" s="594" t="s">
        <v>233</v>
      </c>
      <c r="C29" s="595"/>
      <c r="D29" s="595"/>
      <c r="E29" s="596"/>
      <c r="F29" s="8"/>
      <c r="K29" s="594" t="s">
        <v>234</v>
      </c>
      <c r="L29" s="595"/>
      <c r="M29" s="595"/>
      <c r="N29" s="596"/>
    </row>
    <row r="30" spans="2:14" ht="22.5" customHeight="1" x14ac:dyDescent="0.2">
      <c r="B30" s="8"/>
      <c r="C30" s="8"/>
      <c r="D30" s="8"/>
      <c r="E30" s="8"/>
      <c r="F30" s="8"/>
      <c r="K30" s="9"/>
      <c r="L30" s="9"/>
      <c r="M30" s="9"/>
      <c r="N30" s="9"/>
    </row>
    <row r="31" spans="2:14" ht="6" customHeight="1" x14ac:dyDescent="0.2">
      <c r="B31" s="8"/>
      <c r="C31" s="8"/>
      <c r="D31" s="8"/>
      <c r="E31" s="8"/>
      <c r="F31" s="8"/>
      <c r="K31" s="634" t="s">
        <v>609</v>
      </c>
      <c r="L31" s="580"/>
      <c r="M31" s="580"/>
      <c r="N31" s="581"/>
    </row>
    <row r="32" spans="2:14" ht="19.5" customHeight="1" x14ac:dyDescent="0.2">
      <c r="B32" s="8"/>
      <c r="C32" s="8"/>
      <c r="D32" s="8"/>
      <c r="E32" s="8"/>
      <c r="F32" s="8"/>
      <c r="K32" s="582"/>
      <c r="L32" s="583"/>
      <c r="M32" s="583"/>
      <c r="N32" s="584"/>
    </row>
    <row r="33" spans="8:14" ht="19.5" customHeight="1" x14ac:dyDescent="0.2">
      <c r="K33" s="582"/>
      <c r="L33" s="583"/>
      <c r="M33" s="583"/>
      <c r="N33" s="584"/>
    </row>
    <row r="34" spans="8:14" ht="19.5" customHeight="1" x14ac:dyDescent="0.2">
      <c r="K34" s="582"/>
      <c r="L34" s="583"/>
      <c r="M34" s="583"/>
      <c r="N34" s="584"/>
    </row>
    <row r="35" spans="8:14" ht="19.5" customHeight="1" x14ac:dyDescent="0.2">
      <c r="K35" s="582"/>
      <c r="L35" s="583"/>
      <c r="M35" s="583"/>
      <c r="N35" s="584"/>
    </row>
    <row r="36" spans="8:14" ht="19.5" customHeight="1" x14ac:dyDescent="0.2">
      <c r="K36" s="582"/>
      <c r="L36" s="583"/>
      <c r="M36" s="583"/>
      <c r="N36" s="584"/>
    </row>
    <row r="37" spans="8:14" ht="19.5" customHeight="1" x14ac:dyDescent="0.2">
      <c r="K37" s="582"/>
      <c r="L37" s="583"/>
      <c r="M37" s="583"/>
      <c r="N37" s="584"/>
    </row>
    <row r="38" spans="8:14" ht="19.5" customHeight="1" x14ac:dyDescent="0.2">
      <c r="K38" s="582"/>
      <c r="L38" s="583"/>
      <c r="M38" s="583"/>
      <c r="N38" s="584"/>
    </row>
    <row r="39" spans="8:14" ht="19.5" customHeight="1" x14ac:dyDescent="0.2">
      <c r="K39" s="585"/>
      <c r="L39" s="586"/>
      <c r="M39" s="586"/>
      <c r="N39" s="587"/>
    </row>
    <row r="40" spans="8:14" ht="19.5" customHeight="1" x14ac:dyDescent="0.2"/>
    <row r="41" spans="8:14" ht="19.5" customHeight="1" x14ac:dyDescent="0.2">
      <c r="H41" s="588" t="s">
        <v>172</v>
      </c>
      <c r="I41" s="589"/>
      <c r="J41" s="589"/>
    </row>
  </sheetData>
  <sheetProtection sheet="1" formatCells="0" formatColumns="0" formatRows="0" insertColumns="0" insertRows="0" insertHyperlinks="0" deleteColumns="0" deleteRows="0" pivotTables="0"/>
  <mergeCells count="35">
    <mergeCell ref="B2:D2"/>
    <mergeCell ref="E2:J2"/>
    <mergeCell ref="B4:C4"/>
    <mergeCell ref="D4:E4"/>
    <mergeCell ref="F4:G4"/>
    <mergeCell ref="H4:J4"/>
    <mergeCell ref="B5:C5"/>
    <mergeCell ref="D5:E5"/>
    <mergeCell ref="F5:G5"/>
    <mergeCell ref="H5:J5"/>
    <mergeCell ref="B6:C6"/>
    <mergeCell ref="D6:E6"/>
    <mergeCell ref="F6:G6"/>
    <mergeCell ref="B17:C17"/>
    <mergeCell ref="B7:C7"/>
    <mergeCell ref="D7:J7"/>
    <mergeCell ref="B9:J9"/>
    <mergeCell ref="B13:C13"/>
    <mergeCell ref="B14:C14"/>
    <mergeCell ref="B15:C15"/>
    <mergeCell ref="B16:C16"/>
    <mergeCell ref="B18:C18"/>
    <mergeCell ref="B19:C19"/>
    <mergeCell ref="B20:C20"/>
    <mergeCell ref="B22:C22"/>
    <mergeCell ref="B23:C23"/>
    <mergeCell ref="B21:C21"/>
    <mergeCell ref="K31:N39"/>
    <mergeCell ref="H41:J41"/>
    <mergeCell ref="B24:C24"/>
    <mergeCell ref="B25:C25"/>
    <mergeCell ref="B26:C26"/>
    <mergeCell ref="B27:C27"/>
    <mergeCell ref="B29:E29"/>
    <mergeCell ref="K29:N29"/>
  </mergeCells>
  <conditionalFormatting sqref="D13:H23">
    <cfRule type="cellIs" dxfId="1" priority="1" operator="lessThan">
      <formula>3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FCA56-7FF0-47CC-9691-1E9F0B97E3DF}">
  <sheetPr>
    <tabColor theme="9" tint="-0.499984740745262"/>
    <pageSetUpPr fitToPage="1"/>
  </sheetPr>
  <dimension ref="B2:M41"/>
  <sheetViews>
    <sheetView showGridLines="0" topLeftCell="A18" workbookViewId="0">
      <selection activeCell="I26" sqref="I26"/>
    </sheetView>
  </sheetViews>
  <sheetFormatPr defaultColWidth="12.5703125" defaultRowHeight="15.75" customHeight="1" x14ac:dyDescent="0.2"/>
  <cols>
    <col min="1" max="1" width="3.42578125" customWidth="1"/>
    <col min="2" max="2" width="14.140625" customWidth="1"/>
    <col min="3" max="3" width="12.5703125" customWidth="1"/>
    <col min="4" max="4" width="25" bestFit="1" customWidth="1"/>
    <col min="5" max="9" width="12.5703125" customWidth="1"/>
    <col min="10" max="10" width="36.28515625" customWidth="1"/>
    <col min="11" max="11" width="32.5703125" customWidth="1"/>
    <col min="12" max="20" width="7.5703125" customWidth="1"/>
  </cols>
  <sheetData>
    <row r="2" spans="2:10" ht="55.5" customHeight="1" x14ac:dyDescent="0.2">
      <c r="B2" s="670"/>
      <c r="C2" s="671"/>
      <c r="D2" s="672"/>
      <c r="E2" s="673" t="s">
        <v>213</v>
      </c>
      <c r="F2" s="671"/>
      <c r="G2" s="671"/>
      <c r="H2" s="671"/>
      <c r="I2" s="671"/>
      <c r="J2" s="672"/>
    </row>
    <row r="3" spans="2:10" ht="22.5" customHeight="1" x14ac:dyDescent="0.2">
      <c r="B3" s="46"/>
      <c r="C3" s="46"/>
      <c r="D3" s="47"/>
      <c r="E3" s="47"/>
      <c r="F3" s="47"/>
      <c r="G3" s="47"/>
      <c r="H3" s="47"/>
      <c r="I3" s="47"/>
    </row>
    <row r="4" spans="2:10" ht="42" customHeight="1" x14ac:dyDescent="0.2">
      <c r="B4" s="594" t="s">
        <v>214</v>
      </c>
      <c r="C4" s="596"/>
      <c r="D4" s="674" t="str">
        <f>Índex!B78</f>
        <v xml:space="preserve"> PS5.06_Ind01. </v>
      </c>
      <c r="E4" s="672"/>
      <c r="F4" s="594" t="s">
        <v>215</v>
      </c>
      <c r="G4" s="596"/>
      <c r="H4" s="674" t="str">
        <f>Índex!C78</f>
        <v>Valoració mitjana a la pregunta: "La informació referent a la titulació al web és accessible i m’ha resultat útil".</v>
      </c>
      <c r="I4" s="671"/>
      <c r="J4" s="672"/>
    </row>
    <row r="5" spans="2:10" ht="22.5" customHeight="1" x14ac:dyDescent="0.2">
      <c r="B5" s="594" t="s">
        <v>216</v>
      </c>
      <c r="C5" s="596"/>
      <c r="D5" s="674">
        <f>Índex!F78</f>
        <v>3.5</v>
      </c>
      <c r="E5" s="672"/>
      <c r="F5" s="732" t="s">
        <v>217</v>
      </c>
      <c r="G5" s="596"/>
      <c r="H5" s="775" t="s">
        <v>594</v>
      </c>
      <c r="I5" s="671"/>
      <c r="J5" s="636"/>
    </row>
    <row r="6" spans="2:10" ht="22.5" customHeight="1" x14ac:dyDescent="0.2">
      <c r="B6" s="594" t="s">
        <v>219</v>
      </c>
      <c r="C6" s="596"/>
      <c r="D6" s="674" t="s">
        <v>220</v>
      </c>
      <c r="E6" s="672"/>
      <c r="F6" s="594" t="s">
        <v>242</v>
      </c>
      <c r="G6" s="596"/>
      <c r="H6" s="12" t="str">
        <f>Índex!E78</f>
        <v>Gestora de Qualitat</v>
      </c>
      <c r="J6" s="19"/>
    </row>
    <row r="7" spans="2:10" ht="22.5" customHeight="1" x14ac:dyDescent="0.2">
      <c r="B7" s="594" t="s">
        <v>222</v>
      </c>
      <c r="C7" s="596"/>
      <c r="D7" s="674" t="str">
        <f>Índex!G78</f>
        <v xml:space="preserve"> PS5.06. Informació Pública</v>
      </c>
      <c r="E7" s="671"/>
      <c r="F7" s="671"/>
      <c r="G7" s="671"/>
      <c r="H7" s="671"/>
      <c r="I7" s="671"/>
      <c r="J7" s="672"/>
    </row>
    <row r="8" spans="2:10" ht="7.5" customHeight="1" x14ac:dyDescent="0.2"/>
    <row r="9" spans="2:10" ht="22.5" customHeight="1" x14ac:dyDescent="0.2">
      <c r="B9" s="594" t="s">
        <v>223</v>
      </c>
      <c r="C9" s="595"/>
      <c r="D9" s="595"/>
      <c r="E9" s="595"/>
      <c r="F9" s="595"/>
      <c r="G9" s="595"/>
      <c r="H9" s="595"/>
      <c r="I9" s="595"/>
      <c r="J9" s="596"/>
    </row>
    <row r="10" spans="2:10" ht="22.5" customHeight="1" x14ac:dyDescent="0.2">
      <c r="B10" s="33" t="s">
        <v>172</v>
      </c>
      <c r="C10" s="13"/>
      <c r="D10" s="13"/>
      <c r="E10" s="13"/>
      <c r="F10" s="13"/>
      <c r="G10" s="13"/>
      <c r="H10" s="13"/>
      <c r="I10" s="13"/>
      <c r="J10" s="13"/>
    </row>
    <row r="11" spans="2:10" ht="22.5" customHeight="1" x14ac:dyDescent="0.2"/>
    <row r="12" spans="2:10" ht="22.5" customHeight="1" thickBot="1" x14ac:dyDescent="0.25">
      <c r="B12" s="16"/>
      <c r="C12" s="16"/>
      <c r="D12" s="94" t="s">
        <v>224</v>
      </c>
      <c r="E12" s="94" t="s">
        <v>225</v>
      </c>
      <c r="F12" s="94" t="s">
        <v>226</v>
      </c>
      <c r="G12" s="385" t="s">
        <v>227</v>
      </c>
      <c r="H12" s="94" t="s">
        <v>228</v>
      </c>
      <c r="I12" s="94" t="s">
        <v>229</v>
      </c>
    </row>
    <row r="13" spans="2:10" ht="41.25" customHeight="1" thickBot="1" x14ac:dyDescent="0.25">
      <c r="B13" s="695" t="s">
        <v>244</v>
      </c>
      <c r="C13" s="695"/>
      <c r="D13" s="82">
        <v>3.73</v>
      </c>
      <c r="E13" s="82" t="s">
        <v>237</v>
      </c>
      <c r="F13" s="82">
        <v>3.75</v>
      </c>
      <c r="G13" s="397">
        <v>4.2</v>
      </c>
      <c r="H13" s="31">
        <v>3.53</v>
      </c>
      <c r="I13" s="207" t="s">
        <v>260</v>
      </c>
      <c r="J13" s="126"/>
    </row>
    <row r="14" spans="2:10" ht="41.25" customHeight="1" thickBot="1" x14ac:dyDescent="0.25">
      <c r="B14" s="695" t="s">
        <v>343</v>
      </c>
      <c r="C14" s="695"/>
      <c r="D14" s="31" t="s">
        <v>237</v>
      </c>
      <c r="E14" s="31" t="s">
        <v>237</v>
      </c>
      <c r="F14" s="31">
        <v>3.6</v>
      </c>
      <c r="G14" s="65">
        <v>4</v>
      </c>
      <c r="H14" s="31">
        <v>3.71</v>
      </c>
      <c r="I14" s="170" t="s">
        <v>260</v>
      </c>
      <c r="J14" s="126"/>
    </row>
    <row r="15" spans="2:10" ht="41.25" customHeight="1" thickBot="1" x14ac:dyDescent="0.25">
      <c r="B15" s="695" t="s">
        <v>293</v>
      </c>
      <c r="C15" s="695"/>
      <c r="D15" s="31" t="s">
        <v>237</v>
      </c>
      <c r="E15" s="31">
        <v>4</v>
      </c>
      <c r="F15" s="31">
        <v>4.17</v>
      </c>
      <c r="G15" s="65">
        <v>2</v>
      </c>
      <c r="H15" s="31">
        <v>4.33</v>
      </c>
      <c r="I15" s="170" t="s">
        <v>260</v>
      </c>
      <c r="J15" s="126"/>
    </row>
    <row r="16" spans="2:10" ht="41.25" customHeight="1" thickBot="1" x14ac:dyDescent="0.25">
      <c r="B16" s="695" t="s">
        <v>247</v>
      </c>
      <c r="C16" s="695"/>
      <c r="D16" s="31">
        <v>3.33</v>
      </c>
      <c r="E16" s="31">
        <v>3.9</v>
      </c>
      <c r="F16" s="31">
        <v>3.85</v>
      </c>
      <c r="G16" s="65">
        <v>3</v>
      </c>
      <c r="H16" s="31">
        <v>3.86</v>
      </c>
      <c r="I16" s="170" t="s">
        <v>260</v>
      </c>
      <c r="J16" s="126"/>
    </row>
    <row r="17" spans="2:13" ht="41.25" customHeight="1" thickBot="1" x14ac:dyDescent="0.25">
      <c r="B17" s="695" t="s">
        <v>336</v>
      </c>
      <c r="C17" s="695"/>
      <c r="D17" s="31" t="s">
        <v>237</v>
      </c>
      <c r="E17" s="31" t="s">
        <v>237</v>
      </c>
      <c r="F17" s="31" t="s">
        <v>237</v>
      </c>
      <c r="G17" s="65">
        <v>4</v>
      </c>
      <c r="H17" s="31">
        <v>4.1100000000000003</v>
      </c>
      <c r="I17" s="170" t="s">
        <v>260</v>
      </c>
      <c r="J17" s="126"/>
      <c r="K17" s="23"/>
      <c r="L17" s="28"/>
      <c r="M17" s="28"/>
    </row>
    <row r="18" spans="2:13" ht="41.25" customHeight="1" thickBot="1" x14ac:dyDescent="0.25">
      <c r="B18" s="695" t="s">
        <v>337</v>
      </c>
      <c r="C18" s="695"/>
      <c r="D18" s="31">
        <v>3.5</v>
      </c>
      <c r="E18" s="31">
        <v>4</v>
      </c>
      <c r="F18" s="31" t="s">
        <v>237</v>
      </c>
      <c r="G18" s="65">
        <v>3.5</v>
      </c>
      <c r="H18" s="31">
        <v>3.88</v>
      </c>
      <c r="I18" s="170" t="s">
        <v>260</v>
      </c>
      <c r="J18" s="126"/>
      <c r="K18" s="23"/>
      <c r="L18" s="28"/>
      <c r="M18" s="28"/>
    </row>
    <row r="19" spans="2:13" ht="41.25" customHeight="1" thickBot="1" x14ac:dyDescent="0.25">
      <c r="B19" s="695" t="s">
        <v>250</v>
      </c>
      <c r="C19" s="695"/>
      <c r="D19" s="31">
        <v>3.4</v>
      </c>
      <c r="E19" s="31" t="s">
        <v>237</v>
      </c>
      <c r="F19" s="31" t="s">
        <v>237</v>
      </c>
      <c r="G19" s="65" t="s">
        <v>237</v>
      </c>
      <c r="H19" s="31">
        <v>3.67</v>
      </c>
      <c r="I19" s="170" t="s">
        <v>260</v>
      </c>
      <c r="J19" s="126"/>
      <c r="K19" s="23"/>
      <c r="L19" s="28"/>
      <c r="M19" s="28"/>
    </row>
    <row r="20" spans="2:13" ht="41.25" customHeight="1" thickBot="1" x14ac:dyDescent="0.35">
      <c r="B20" s="882" t="s">
        <v>610</v>
      </c>
      <c r="C20" s="883"/>
      <c r="D20" s="31" t="s">
        <v>237</v>
      </c>
      <c r="E20" s="31" t="s">
        <v>237</v>
      </c>
      <c r="F20" s="31" t="s">
        <v>237</v>
      </c>
      <c r="G20" s="65" t="s">
        <v>237</v>
      </c>
      <c r="H20" s="31">
        <v>4.57</v>
      </c>
      <c r="I20" s="170" t="s">
        <v>260</v>
      </c>
      <c r="J20" s="126"/>
      <c r="K20" s="23"/>
      <c r="L20" s="28"/>
      <c r="M20" s="28"/>
    </row>
    <row r="21" spans="2:13" ht="41.25" customHeight="1" thickBot="1" x14ac:dyDescent="0.25">
      <c r="B21" s="695" t="s">
        <v>252</v>
      </c>
      <c r="C21" s="695"/>
      <c r="D21" s="31">
        <v>3.9</v>
      </c>
      <c r="E21" s="31">
        <v>3.93</v>
      </c>
      <c r="F21" s="31">
        <v>3</v>
      </c>
      <c r="G21" s="65">
        <v>3.2</v>
      </c>
      <c r="H21" s="31">
        <v>4.13</v>
      </c>
      <c r="I21" s="170" t="s">
        <v>260</v>
      </c>
      <c r="K21" s="70" t="s">
        <v>234</v>
      </c>
      <c r="L21" s="147"/>
      <c r="M21" s="147"/>
    </row>
    <row r="22" spans="2:13" ht="41.25" customHeight="1" thickBot="1" x14ac:dyDescent="0.25">
      <c r="B22" s="695" t="s">
        <v>253</v>
      </c>
      <c r="C22" s="695"/>
      <c r="D22" s="31">
        <v>3.64</v>
      </c>
      <c r="E22" s="31">
        <v>3.67</v>
      </c>
      <c r="F22" s="31">
        <v>3</v>
      </c>
      <c r="G22" s="65">
        <v>3.5</v>
      </c>
      <c r="H22" s="31">
        <v>3.91</v>
      </c>
      <c r="I22" s="170" t="s">
        <v>260</v>
      </c>
      <c r="K22" s="9"/>
      <c r="L22" s="9"/>
      <c r="M22" s="9"/>
    </row>
    <row r="23" spans="2:13" ht="41.25" customHeight="1" x14ac:dyDescent="0.2">
      <c r="B23" s="695" t="s">
        <v>254</v>
      </c>
      <c r="C23" s="695"/>
      <c r="D23" s="31">
        <v>3.32</v>
      </c>
      <c r="E23" s="31">
        <v>3.63</v>
      </c>
      <c r="F23" s="31">
        <v>2.58</v>
      </c>
      <c r="G23" s="65">
        <v>4</v>
      </c>
      <c r="H23" s="31">
        <v>4</v>
      </c>
      <c r="I23" s="31" t="s">
        <v>260</v>
      </c>
      <c r="K23" s="759" t="s">
        <v>611</v>
      </c>
      <c r="L23" s="760"/>
      <c r="M23" s="760"/>
    </row>
    <row r="24" spans="2:13" ht="22.5" customHeight="1" x14ac:dyDescent="0.2">
      <c r="B24" s="816">
        <f>D5</f>
        <v>3.5</v>
      </c>
      <c r="C24" s="816"/>
      <c r="D24" s="34">
        <f t="shared" ref="D24:I24" si="0">COUNTIF(D13:D23,"&gt;=3,5")</f>
        <v>4</v>
      </c>
      <c r="E24" s="34">
        <f t="shared" si="0"/>
        <v>6</v>
      </c>
      <c r="F24" s="34">
        <f t="shared" si="0"/>
        <v>4</v>
      </c>
      <c r="G24" s="238">
        <f t="shared" si="0"/>
        <v>6</v>
      </c>
      <c r="H24" s="34">
        <f t="shared" si="0"/>
        <v>11</v>
      </c>
      <c r="I24" s="34">
        <f t="shared" si="0"/>
        <v>0</v>
      </c>
      <c r="K24" s="762"/>
      <c r="L24" s="763"/>
      <c r="M24" s="763"/>
    </row>
    <row r="25" spans="2:13" ht="22.5" customHeight="1" x14ac:dyDescent="0.2">
      <c r="B25" s="689" t="s">
        <v>274</v>
      </c>
      <c r="C25" s="689"/>
      <c r="D25" s="17">
        <f t="shared" ref="D25:I25" si="1">COUNT(D13:D23)</f>
        <v>7</v>
      </c>
      <c r="E25" s="17">
        <f t="shared" si="1"/>
        <v>6</v>
      </c>
      <c r="F25" s="17">
        <f t="shared" si="1"/>
        <v>7</v>
      </c>
      <c r="G25" s="39">
        <f t="shared" si="1"/>
        <v>9</v>
      </c>
      <c r="H25" s="17">
        <f t="shared" si="1"/>
        <v>11</v>
      </c>
      <c r="I25" s="17">
        <f t="shared" si="1"/>
        <v>0</v>
      </c>
      <c r="K25" s="762"/>
      <c r="L25" s="763"/>
      <c r="M25" s="763"/>
    </row>
    <row r="26" spans="2:13" ht="22.5" customHeight="1" x14ac:dyDescent="0.2">
      <c r="B26" s="685" t="s">
        <v>231</v>
      </c>
      <c r="C26" s="735"/>
      <c r="D26" s="74">
        <f>$D5</f>
        <v>3.5</v>
      </c>
      <c r="E26" s="74">
        <f t="shared" ref="E26:G26" si="2">$D5</f>
        <v>3.5</v>
      </c>
      <c r="F26" s="74">
        <f t="shared" si="2"/>
        <v>3.5</v>
      </c>
      <c r="G26" s="398">
        <f t="shared" si="2"/>
        <v>3.5</v>
      </c>
      <c r="H26" s="74">
        <v>3.5</v>
      </c>
      <c r="I26" s="74">
        <v>3.5</v>
      </c>
      <c r="K26" s="762"/>
      <c r="L26" s="763"/>
      <c r="M26" s="763"/>
    </row>
    <row r="27" spans="2:13" ht="22.5" customHeight="1" x14ac:dyDescent="0.2">
      <c r="B27" s="685" t="s">
        <v>232</v>
      </c>
      <c r="C27" s="735"/>
      <c r="D27" s="48">
        <f t="shared" ref="D27:I27" si="3">D24/D25</f>
        <v>0.5714285714285714</v>
      </c>
      <c r="E27" s="48">
        <f t="shared" si="3"/>
        <v>1</v>
      </c>
      <c r="F27" s="48">
        <f t="shared" si="3"/>
        <v>0.5714285714285714</v>
      </c>
      <c r="G27" s="268">
        <f t="shared" si="3"/>
        <v>0.66666666666666663</v>
      </c>
      <c r="H27" s="48">
        <f t="shared" si="3"/>
        <v>1</v>
      </c>
      <c r="I27" s="48" t="e">
        <f t="shared" si="3"/>
        <v>#DIV/0!</v>
      </c>
      <c r="K27" s="762"/>
      <c r="L27" s="763"/>
      <c r="M27" s="763"/>
    </row>
    <row r="28" spans="2:13" ht="22.5" customHeight="1" x14ac:dyDescent="0.25">
      <c r="B28" s="7"/>
      <c r="C28" s="7"/>
      <c r="D28" s="6"/>
      <c r="E28" s="6"/>
      <c r="F28" s="6"/>
      <c r="G28" s="6"/>
      <c r="H28" s="6"/>
      <c r="I28" s="6"/>
      <c r="K28" s="762"/>
      <c r="L28" s="763"/>
      <c r="M28" s="763"/>
    </row>
    <row r="29" spans="2:13" ht="22.5" customHeight="1" x14ac:dyDescent="0.2">
      <c r="B29" s="594" t="s">
        <v>233</v>
      </c>
      <c r="C29" s="595"/>
      <c r="D29" s="595"/>
      <c r="E29" s="596"/>
      <c r="F29" s="8"/>
      <c r="K29" s="148"/>
      <c r="L29" s="11"/>
      <c r="M29" s="11"/>
    </row>
    <row r="41" spans="8:10" ht="19.5" customHeight="1" x14ac:dyDescent="0.2">
      <c r="H41" s="588" t="s">
        <v>172</v>
      </c>
      <c r="I41" s="589"/>
      <c r="J41" s="589"/>
    </row>
  </sheetData>
  <sheetProtection sheet="1" formatCells="0" formatColumns="0" formatRows="0" insertColumns="0" insertRows="0" insertHyperlinks="0" deleteColumns="0" deleteRows="0" pivotTables="0"/>
  <mergeCells count="34">
    <mergeCell ref="B2:D2"/>
    <mergeCell ref="E2:J2"/>
    <mergeCell ref="B4:C4"/>
    <mergeCell ref="D4:E4"/>
    <mergeCell ref="F4:G4"/>
    <mergeCell ref="H4:J4"/>
    <mergeCell ref="B7:C7"/>
    <mergeCell ref="D7:J7"/>
    <mergeCell ref="B5:C5"/>
    <mergeCell ref="D5:E5"/>
    <mergeCell ref="F5:G5"/>
    <mergeCell ref="H5:J5"/>
    <mergeCell ref="B6:C6"/>
    <mergeCell ref="D6:E6"/>
    <mergeCell ref="F6:G6"/>
    <mergeCell ref="B17:C17"/>
    <mergeCell ref="B18:C18"/>
    <mergeCell ref="B19:C19"/>
    <mergeCell ref="B21:C21"/>
    <mergeCell ref="B22:C22"/>
    <mergeCell ref="B20:C20"/>
    <mergeCell ref="B9:J9"/>
    <mergeCell ref="B13:C13"/>
    <mergeCell ref="B14:C14"/>
    <mergeCell ref="B15:C15"/>
    <mergeCell ref="B16:C16"/>
    <mergeCell ref="K23:M28"/>
    <mergeCell ref="B24:C24"/>
    <mergeCell ref="B23:C23"/>
    <mergeCell ref="H41:J41"/>
    <mergeCell ref="B25:C25"/>
    <mergeCell ref="B26:C26"/>
    <mergeCell ref="B27:C27"/>
    <mergeCell ref="B29:E29"/>
  </mergeCells>
  <conditionalFormatting sqref="D13:G23">
    <cfRule type="cellIs" dxfId="0" priority="2" operator="between">
      <formula>0</formula>
      <formula>3.15</formula>
    </cfRule>
  </conditionalFormatting>
  <pageMargins left="0.7" right="0.7" top="0.75" bottom="0.75" header="0" footer="0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10129b1-be29-498c-9e07-dbfdb8932fef">
      <UserInfo>
        <DisplayName>Sara Bertobillo Cunill</DisplayName>
        <AccountId>27</AccountId>
        <AccountType/>
      </UserInfo>
    </SharedWithUsers>
    <lcf76f155ced4ddcb4097134ff3c332f xmlns="38633fc6-6824-4779-96fc-75d94a1a155d">
      <Terms xmlns="http://schemas.microsoft.com/office/infopath/2007/PartnerControls"/>
    </lcf76f155ced4ddcb4097134ff3c332f>
    <hora xmlns="38633fc6-6824-4779-96fc-75d94a1a155d" xsi:nil="true"/>
    <Persona xmlns="38633fc6-6824-4779-96fc-75d94a1a155d">
      <UserInfo>
        <DisplayName/>
        <AccountId xsi:nil="true"/>
        <AccountType/>
      </UserInfo>
    </Persona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E531AB52E0FB40A6634DAC2D5B373D" ma:contentTypeVersion="13" ma:contentTypeDescription="Crea un document nou" ma:contentTypeScope="" ma:versionID="cb882e607e65a1ec3964ee2ca3621c0c">
  <xsd:schema xmlns:xsd="http://www.w3.org/2001/XMLSchema" xmlns:xs="http://www.w3.org/2001/XMLSchema" xmlns:p="http://schemas.microsoft.com/office/2006/metadata/properties" xmlns:ns2="010129b1-be29-498c-9e07-dbfdb8932fef" xmlns:ns3="38633fc6-6824-4779-96fc-75d94a1a155d" targetNamespace="http://schemas.microsoft.com/office/2006/metadata/properties" ma:root="true" ma:fieldsID="5f5df05808fcedd02d0db9dc4514069f" ns2:_="" ns3:_="">
    <xsd:import namespace="010129b1-be29-498c-9e07-dbfdb8932fef"/>
    <xsd:import namespace="38633fc6-6824-4779-96fc-75d94a1a155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hora" minOccurs="0"/>
                <xsd:element ref="ns3:Person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129b1-be29-498c-9e07-dbfdb8932fe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633fc6-6824-4779-96fc-75d94a1a15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ora" ma:index="19" nillable="true" ma:displayName="hora" ma:format="DateOnly" ma:internalName="hora">
      <xsd:simpleType>
        <xsd:restriction base="dms:DateTime"/>
      </xsd:simpleType>
    </xsd:element>
    <xsd:element name="Persona" ma:index="20" nillable="true" ma:displayName="Persona" ma:format="Dropdown" ma:list="UserInfo" ma:SharePointGroup="0" ma:internalName="Person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BCDED2-8CC9-4F10-82D6-5C6570580221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010129b1-be29-498c-9e07-dbfdb8932fef"/>
    <ds:schemaRef ds:uri="http://schemas.microsoft.com/office/2006/metadata/properties"/>
    <ds:schemaRef ds:uri="http://www.w3.org/XML/1998/namespace"/>
    <ds:schemaRef ds:uri="38633fc6-6824-4779-96fc-75d94a1a155d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49DF746-1668-4F39-9541-D15EEE2BE8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129b1-be29-498c-9e07-dbfdb8932fef"/>
    <ds:schemaRef ds:uri="38633fc6-6824-4779-96fc-75d94a1a15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071EEC-D577-423E-9BCC-3C1AEBF726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Fulls de càlcul</vt:lpstr>
      </vt:variant>
      <vt:variant>
        <vt:i4>73</vt:i4>
      </vt:variant>
      <vt:variant>
        <vt:lpstr>Intervals amb nom</vt:lpstr>
      </vt:variant>
      <vt:variant>
        <vt:i4>3</vt:i4>
      </vt:variant>
    </vt:vector>
  </HeadingPairs>
  <TitlesOfParts>
    <vt:vector size="76" baseType="lpstr">
      <vt:lpstr>Índex</vt:lpstr>
      <vt:lpstr>PE1.01_Ind01 </vt:lpstr>
      <vt:lpstr>PE1.01_Ind02</vt:lpstr>
      <vt:lpstr>PE1.01_Ind03 </vt:lpstr>
      <vt:lpstr>PE1.01_Ind04 </vt:lpstr>
      <vt:lpstr>PE1.02_Ind01</vt:lpstr>
      <vt:lpstr>PE1.02_Ind02</vt:lpstr>
      <vt:lpstr>PE1.02_Ind03</vt:lpstr>
      <vt:lpstr>PE1.03_Ind01</vt:lpstr>
      <vt:lpstr>PE1.03_Ind02</vt:lpstr>
      <vt:lpstr>PE1.03_Ind03</vt:lpstr>
      <vt:lpstr>PE1.03_Ind04 </vt:lpstr>
      <vt:lpstr>PE1.03_Ind05</vt:lpstr>
      <vt:lpstr>PE1.03_Ind06</vt:lpstr>
      <vt:lpstr>PE1.03_Ind07</vt:lpstr>
      <vt:lpstr>PC2.01_Ind01</vt:lpstr>
      <vt:lpstr>PC2.01_Ind02</vt:lpstr>
      <vt:lpstr>PC2.01_Ind03</vt:lpstr>
      <vt:lpstr>PC2.01_Ind04</vt:lpstr>
      <vt:lpstr>PC2.01_Ind05</vt:lpstr>
      <vt:lpstr>PC2.02_Ind01</vt:lpstr>
      <vt:lpstr>PC2.03_Ind01</vt:lpstr>
      <vt:lpstr>PC2.03_Ind02</vt:lpstr>
      <vt:lpstr>PC2.04_Ind01</vt:lpstr>
      <vt:lpstr>PC2.04_Ind02</vt:lpstr>
      <vt:lpstr>PC2.04_Ind03</vt:lpstr>
      <vt:lpstr>PC2.04_Ind4</vt:lpstr>
      <vt:lpstr>PC2.05_Ind01</vt:lpstr>
      <vt:lpstr>PC3.01_Ind01</vt:lpstr>
      <vt:lpstr>PC3.01_Ind02.</vt:lpstr>
      <vt:lpstr>PC3.01_Ind03</vt:lpstr>
      <vt:lpstr>PC3.01_Ind04 </vt:lpstr>
      <vt:lpstr>PC3.01_Ind05</vt:lpstr>
      <vt:lpstr>PC3.02_Ind01</vt:lpstr>
      <vt:lpstr>PC3.03_Ind01</vt:lpstr>
      <vt:lpstr>PC3.03_Ind02</vt:lpstr>
      <vt:lpstr>PC3.03_Ind03</vt:lpstr>
      <vt:lpstr>PC3.03_Ind04</vt:lpstr>
      <vt:lpstr>PC3.03_Ind05</vt:lpstr>
      <vt:lpstr>PC3.04_Ind01</vt:lpstr>
      <vt:lpstr>PC3.04_Ind02 </vt:lpstr>
      <vt:lpstr>PC3.04_Ind03</vt:lpstr>
      <vt:lpstr>PC3.05_Ind01</vt:lpstr>
      <vt:lpstr>PC3.05_Ind02</vt:lpstr>
      <vt:lpstr>PS4.01_Ind01</vt:lpstr>
      <vt:lpstr>PS4.01_Ind02</vt:lpstr>
      <vt:lpstr>PS4.02_Ind01</vt:lpstr>
      <vt:lpstr>PS4.02_Ind02</vt:lpstr>
      <vt:lpstr>PS4.02_Ind03</vt:lpstr>
      <vt:lpstr>PS4.02_Ind04</vt:lpstr>
      <vt:lpstr>PS4.03_Ind01</vt:lpstr>
      <vt:lpstr>PS4.03_Ind02</vt:lpstr>
      <vt:lpstr>PS4.03_Ind03</vt:lpstr>
      <vt:lpstr>PS4.03_Ind04</vt:lpstr>
      <vt:lpstr>PS4.03_Ind05</vt:lpstr>
      <vt:lpstr>PS4.03_Ind06</vt:lpstr>
      <vt:lpstr>PS4.04_Ind01</vt:lpstr>
      <vt:lpstr>PS4.04_Ind02</vt:lpstr>
      <vt:lpstr>PS4.04_Ind03.</vt:lpstr>
      <vt:lpstr>PS4.05_Ind01</vt:lpstr>
      <vt:lpstr>PS4.05_Ind02</vt:lpstr>
      <vt:lpstr>PS5.03_Ind01</vt:lpstr>
      <vt:lpstr>PS5.03_Ind02</vt:lpstr>
      <vt:lpstr>PS5.03_Ind03</vt:lpstr>
      <vt:lpstr>PS5.03_Ind04</vt:lpstr>
      <vt:lpstr>PS5.04_Ind01</vt:lpstr>
      <vt:lpstr>PS5.04_Ind02</vt:lpstr>
      <vt:lpstr>PS5.04_Ind03</vt:lpstr>
      <vt:lpstr>PS5.04_Ind04</vt:lpstr>
      <vt:lpstr>PS5.05_Ind01</vt:lpstr>
      <vt:lpstr>PS5.05_Ind02</vt:lpstr>
      <vt:lpstr>PS5.05_Ind03 </vt:lpstr>
      <vt:lpstr>PS5.06_Ind01   </vt:lpstr>
      <vt:lpstr>index</vt:lpstr>
      <vt:lpstr>indicadors</vt:lpstr>
      <vt:lpstr>Indivadors2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 Jorba Escribano</dc:creator>
  <cp:keywords/>
  <dc:description/>
  <cp:lastModifiedBy>Mar Jorba Escribano</cp:lastModifiedBy>
  <cp:revision/>
  <dcterms:created xsi:type="dcterms:W3CDTF">2022-05-24T11:24:28Z</dcterms:created>
  <dcterms:modified xsi:type="dcterms:W3CDTF">2024-09-18T07:29:51Z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0x0101004CE531AB52E0FB40A6634DAC2D5B373D</vt:lpwstr>
  </property>
  <property fmtid="{D5CDD505-2E9C-101B-9397-08002B2CF9AE}" pid="3" name="MediaServiceImageTags">
    <vt:lpwstr/>
  </property>
  <property fmtid="{D5CDD505-2E9C-101B-9397-08002B2CF9AE}" pid="4" name="Order">
    <vt:r8>2071200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</Properties>
</file>